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FB TE\Beratung Unterlagen\Kalkulation ECM - Futteraufnahme - ML - N-Ausscheidung\"/>
    </mc:Choice>
  </mc:AlternateContent>
  <bookViews>
    <workbookView xWindow="720" yWindow="300" windowWidth="15480" windowHeight="11640"/>
  </bookViews>
  <sheets>
    <sheet name="Hinweise" sheetId="4" r:id="rId1"/>
    <sheet name="Fütterungsmonitoring" sheetId="1" r:id="rId2"/>
    <sheet name="Tabelle2" sheetId="2" state="hidden" r:id="rId3"/>
    <sheet name="Tabelle3" sheetId="3" state="hidden" r:id="rId4"/>
  </sheets>
  <definedNames>
    <definedName name="_xlnm.Print_Area" localSheetId="1">Fütterungsmonitoring!$A$1:$W$50</definedName>
    <definedName name="_xlnm.Print_Area" localSheetId="0">Hinweise!$A$1:$G$49</definedName>
  </definedNames>
  <calcPr calcId="152511"/>
</workbook>
</file>

<file path=xl/calcChain.xml><?xml version="1.0" encoding="utf-8"?>
<calcChain xmlns="http://schemas.openxmlformats.org/spreadsheetml/2006/main">
  <c r="S23" i="1" l="1"/>
  <c r="V27" i="1" l="1"/>
  <c r="V28" i="1"/>
  <c r="V29" i="1"/>
  <c r="V30" i="1"/>
  <c r="V31" i="1"/>
  <c r="V32" i="1"/>
  <c r="V33" i="1"/>
  <c r="T24" i="1"/>
  <c r="T25" i="1"/>
  <c r="T26" i="1"/>
  <c r="T27" i="1"/>
  <c r="T28" i="1"/>
  <c r="T29" i="1"/>
  <c r="T30" i="1"/>
  <c r="T31" i="1"/>
  <c r="T32" i="1"/>
  <c r="T33" i="1"/>
  <c r="T23" i="1"/>
  <c r="S27" i="1"/>
  <c r="S28" i="1"/>
  <c r="S29" i="1"/>
  <c r="S30" i="1"/>
  <c r="S31" i="1"/>
  <c r="S32" i="1"/>
  <c r="S33" i="1"/>
  <c r="S47" i="1" l="1"/>
  <c r="U25" i="1" l="1"/>
  <c r="V25" i="1" s="1"/>
  <c r="U26" i="1"/>
  <c r="V26" i="1" s="1"/>
  <c r="U27" i="1"/>
  <c r="U28" i="1"/>
  <c r="U29" i="1"/>
  <c r="U30" i="1"/>
  <c r="U31" i="1"/>
  <c r="U32" i="1"/>
  <c r="U33" i="1"/>
  <c r="U24" i="1"/>
  <c r="V24" i="1" s="1"/>
  <c r="W27" i="1"/>
  <c r="W28" i="1"/>
  <c r="W29" i="1"/>
  <c r="W30" i="1"/>
  <c r="W31" i="1"/>
  <c r="W32" i="1"/>
  <c r="W33" i="1"/>
  <c r="U23" i="1"/>
  <c r="S46" i="1"/>
  <c r="W23" i="1" l="1"/>
  <c r="V23" i="1"/>
  <c r="W25" i="1"/>
  <c r="W26" i="1"/>
  <c r="W24" i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7" i="1"/>
  <c r="U7" i="1" s="1"/>
  <c r="B32" i="1"/>
  <c r="C32" i="1" s="1"/>
  <c r="B23" i="1"/>
  <c r="E23" i="1" s="1"/>
  <c r="B24" i="1"/>
  <c r="L24" i="1" s="1"/>
  <c r="M24" i="1" s="1"/>
  <c r="B25" i="1"/>
  <c r="D25" i="1" s="1"/>
  <c r="B26" i="1"/>
  <c r="F26" i="1" s="1"/>
  <c r="B27" i="1"/>
  <c r="F27" i="1" s="1"/>
  <c r="B28" i="1"/>
  <c r="F28" i="1" s="1"/>
  <c r="B29" i="1"/>
  <c r="C29" i="1" s="1"/>
  <c r="B30" i="1"/>
  <c r="F30" i="1" s="1"/>
  <c r="B31" i="1"/>
  <c r="D31" i="1" s="1"/>
  <c r="B33" i="1"/>
  <c r="C33" i="1" s="1"/>
  <c r="H24" i="1"/>
  <c r="H25" i="1"/>
  <c r="H26" i="1"/>
  <c r="H27" i="1"/>
  <c r="H28" i="1"/>
  <c r="H29" i="1"/>
  <c r="H30" i="1"/>
  <c r="J30" i="1" s="1"/>
  <c r="H31" i="1"/>
  <c r="H32" i="1"/>
  <c r="H23" i="1"/>
  <c r="H33" i="1"/>
  <c r="J27" i="1"/>
  <c r="L27" i="1" l="1"/>
  <c r="M27" i="1" s="1"/>
  <c r="W34" i="1"/>
  <c r="J32" i="1"/>
  <c r="J28" i="1"/>
  <c r="D33" i="1"/>
  <c r="B48" i="1"/>
  <c r="E33" i="1"/>
  <c r="D48" i="1" s="1"/>
  <c r="L33" i="1"/>
  <c r="M33" i="1" s="1"/>
  <c r="J26" i="1"/>
  <c r="F33" i="1"/>
  <c r="J33" i="1" s="1"/>
  <c r="L31" i="1"/>
  <c r="M31" i="1" s="1"/>
  <c r="C23" i="1"/>
  <c r="D38" i="1" s="1"/>
  <c r="F23" i="1"/>
  <c r="J23" i="1" s="1"/>
  <c r="C28" i="1"/>
  <c r="D28" i="1"/>
  <c r="E29" i="1"/>
  <c r="D44" i="1" s="1"/>
  <c r="F29" i="1"/>
  <c r="J29" i="1" s="1"/>
  <c r="L28" i="1"/>
  <c r="M28" i="1" s="1"/>
  <c r="L29" i="1"/>
  <c r="M29" i="1" s="1"/>
  <c r="L26" i="1"/>
  <c r="M26" i="1" s="1"/>
  <c r="S26" i="1" s="1"/>
  <c r="C30" i="1"/>
  <c r="B45" i="1" s="1"/>
  <c r="C27" i="1"/>
  <c r="B42" i="1" s="1"/>
  <c r="D32" i="1"/>
  <c r="C47" i="1" s="1"/>
  <c r="D30" i="1"/>
  <c r="D27" i="1"/>
  <c r="C42" i="1" s="1"/>
  <c r="E32" i="1"/>
  <c r="D47" i="1" s="1"/>
  <c r="E28" i="1"/>
  <c r="D43" i="1" s="1"/>
  <c r="F32" i="1"/>
  <c r="L30" i="1"/>
  <c r="M30" i="1" s="1"/>
  <c r="L23" i="1"/>
  <c r="M23" i="1" s="1"/>
  <c r="L32" i="1"/>
  <c r="M32" i="1" s="1"/>
  <c r="D23" i="1"/>
  <c r="C38" i="1" s="1"/>
  <c r="C26" i="1"/>
  <c r="D29" i="1"/>
  <c r="C44" i="1" s="1"/>
  <c r="E31" i="1"/>
  <c r="D46" i="1" s="1"/>
  <c r="E27" i="1"/>
  <c r="F31" i="1"/>
  <c r="J31" i="1" s="1"/>
  <c r="C31" i="1"/>
  <c r="B46" i="1" s="1"/>
  <c r="D26" i="1"/>
  <c r="E30" i="1"/>
  <c r="E26" i="1"/>
  <c r="E25" i="1"/>
  <c r="C40" i="1" s="1"/>
  <c r="C25" i="1"/>
  <c r="B40" i="1" s="1"/>
  <c r="F25" i="1"/>
  <c r="J25" i="1" s="1"/>
  <c r="L25" i="1"/>
  <c r="M25" i="1" s="1"/>
  <c r="E24" i="1"/>
  <c r="C24" i="1"/>
  <c r="D24" i="1"/>
  <c r="F24" i="1"/>
  <c r="S24" i="1" s="1"/>
  <c r="D41" i="1" l="1"/>
  <c r="D39" i="1"/>
  <c r="C46" i="1"/>
  <c r="B41" i="1"/>
  <c r="C43" i="1"/>
  <c r="C48" i="1"/>
  <c r="D45" i="1"/>
  <c r="D42" i="1"/>
  <c r="C45" i="1"/>
  <c r="B43" i="1"/>
  <c r="B44" i="1"/>
  <c r="B47" i="1"/>
  <c r="D40" i="1"/>
  <c r="C41" i="1"/>
  <c r="S25" i="1"/>
  <c r="B38" i="1"/>
  <c r="J24" i="1"/>
  <c r="B39" i="1"/>
  <c r="C39" i="1"/>
  <c r="D49" i="1" l="1"/>
  <c r="C49" i="1"/>
  <c r="B49" i="1"/>
</calcChain>
</file>

<file path=xl/sharedStrings.xml><?xml version="1.0" encoding="utf-8"?>
<sst xmlns="http://schemas.openxmlformats.org/spreadsheetml/2006/main" count="133" uniqueCount="120">
  <si>
    <t>Milchleistung</t>
  </si>
  <si>
    <t xml:space="preserve">Fett kg </t>
  </si>
  <si>
    <t>Datum</t>
  </si>
  <si>
    <t>1-100</t>
  </si>
  <si>
    <t>100-200</t>
  </si>
  <si>
    <t>&gt;200</t>
  </si>
  <si>
    <t>Mittel</t>
  </si>
  <si>
    <t>Laktationstage</t>
  </si>
  <si>
    <t>ML</t>
  </si>
  <si>
    <t>Fett %</t>
  </si>
  <si>
    <t>Eiw. %</t>
  </si>
  <si>
    <t>Durchschnitt</t>
  </si>
  <si>
    <t>Entwicklung der Milchleistung (Umrechnung in ECM kg = 4% Fett und 3,4% Eiweiß)</t>
  </si>
  <si>
    <t>kg ECM (4% Fett und 3,4% Eiweiß)</t>
  </si>
  <si>
    <t>kor. auf 180 Lakt.tage</t>
  </si>
  <si>
    <t>mind. 1,3 kg Fett/Tier und Tag</t>
  </si>
  <si>
    <t>Faustzahl:</t>
  </si>
  <si>
    <t>Fettmenge</t>
  </si>
  <si>
    <t>Milchmenge</t>
  </si>
  <si>
    <t>Fettgehalt</t>
  </si>
  <si>
    <t>kg</t>
  </si>
  <si>
    <t>%</t>
  </si>
  <si>
    <t>Ziel</t>
  </si>
  <si>
    <t>gut</t>
  </si>
  <si>
    <t>85-90%</t>
  </si>
  <si>
    <t>sehr gut</t>
  </si>
  <si>
    <t>&gt;90%</t>
  </si>
  <si>
    <t>Persistenz in %</t>
  </si>
  <si>
    <t>Mittelwert</t>
  </si>
  <si>
    <t>1. zu 3. Laktationsdrittel</t>
  </si>
  <si>
    <t>Differenz  Milcheiweiß*</t>
  </si>
  <si>
    <t>*Ziel: &lt; 0,6%</t>
  </si>
  <si>
    <t xml:space="preserve">Betrieb: </t>
  </si>
  <si>
    <t>www.dlr-eifel.rlp.de</t>
  </si>
  <si>
    <t>Harnstoff</t>
  </si>
  <si>
    <t>Fett%</t>
  </si>
  <si>
    <t>Eiw %</t>
  </si>
  <si>
    <t>Hanstoff</t>
  </si>
  <si>
    <t>Eiw%</t>
  </si>
  <si>
    <t>&gt; 200</t>
  </si>
  <si>
    <t>g XP/kg TM</t>
  </si>
  <si>
    <t>g nXP/kg TM</t>
  </si>
  <si>
    <t>RNB ges</t>
  </si>
  <si>
    <t>Laktations-tage</t>
  </si>
  <si>
    <t>Bemerkung</t>
  </si>
  <si>
    <t>1. zu 2. Lakt.drit</t>
  </si>
  <si>
    <t>2. zu 3. Lakt.drit</t>
  </si>
  <si>
    <t>1. zu 3. Lakt.drit</t>
  </si>
  <si>
    <t>MJ NEL/kg TM</t>
  </si>
  <si>
    <t>in %</t>
  </si>
  <si>
    <t>MJ NEL/kg ECM</t>
  </si>
  <si>
    <t>g Futter-N</t>
  </si>
  <si>
    <t>g Milcheiweiß-N</t>
  </si>
  <si>
    <r>
      <t>Fütterung</t>
    </r>
    <r>
      <rPr>
        <vertAlign val="superscript"/>
        <sz val="10"/>
        <rFont val="Arial"/>
        <family val="2"/>
      </rPr>
      <t>1</t>
    </r>
  </si>
  <si>
    <t>Hinweis: gelbe Felder sind Eingabefelder</t>
  </si>
  <si>
    <t>g N/ Kuh u.Tag</t>
  </si>
  <si>
    <r>
      <t xml:space="preserve">nach </t>
    </r>
    <r>
      <rPr>
        <b/>
        <sz val="10"/>
        <rFont val="Arial"/>
        <family val="2"/>
      </rPr>
      <t>Richardt</t>
    </r>
    <r>
      <rPr>
        <sz val="10"/>
        <rFont val="Arial"/>
      </rPr>
      <t xml:space="preserve"> LKV Sachsen-Anhalt (LKV Jahresbericht 2010)</t>
    </r>
  </si>
  <si>
    <t>Beispiel</t>
  </si>
  <si>
    <t>Energie-effizienz</t>
  </si>
  <si>
    <t>kg TM /Kuh</t>
  </si>
  <si>
    <t xml:space="preserve">Ergebnis der Kontrolle der Futteraufnahme im Betrieb </t>
  </si>
  <si>
    <t>(mit Wiegung Restmengen und TS-Bestimmung der Ration)</t>
  </si>
  <si>
    <t xml:space="preserve">TM kg* </t>
  </si>
  <si>
    <t>TM-Aufnahme</t>
  </si>
  <si>
    <t>* 60 g Milchfett je kg TM-Aufnahme</t>
  </si>
  <si>
    <r>
      <t xml:space="preserve">Futter-N-Ausnutzung </t>
    </r>
    <r>
      <rPr>
        <b/>
        <vertAlign val="superscript"/>
        <sz val="10"/>
        <rFont val="Arial"/>
        <family val="2"/>
      </rPr>
      <t>3</t>
    </r>
  </si>
  <si>
    <r>
      <t>N-Ausscheidung</t>
    </r>
    <r>
      <rPr>
        <b/>
        <vertAlign val="superscript"/>
        <sz val="10"/>
        <rFont val="Arial"/>
        <family val="2"/>
      </rPr>
      <t>4</t>
    </r>
  </si>
  <si>
    <t>GS1 und GS2 2019</t>
  </si>
  <si>
    <t>Rationskennzahlen für Durchschnittskuh der Herde</t>
  </si>
  <si>
    <t xml:space="preserve"> (= durchschnittliche Milchmenge ECM)</t>
  </si>
  <si>
    <t>Milchleistung korrigiert</t>
  </si>
  <si>
    <t>auf 180 Laktationstage</t>
  </si>
  <si>
    <t xml:space="preserve">   45 Trockenstehtage (N-Ausscheidung 240g /Tag)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</si>
  <si>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Fütterung: </t>
    </r>
  </si>
  <si>
    <r>
      <rPr>
        <vertAlign val="superscript"/>
        <sz val="9"/>
        <rFont val="Arial"/>
        <family val="2"/>
      </rPr>
      <t xml:space="preserve">4 </t>
    </r>
    <r>
      <rPr>
        <sz val="9"/>
        <rFont val="Arial"/>
        <family val="2"/>
      </rPr>
      <t>N-Ausscheidung nach Barnnink und Hindle (2003):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</si>
  <si>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N-Ausscheidung pro Kuh/Jahr: kalk. 320 Laktationstage und 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</si>
  <si>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Kalk. N-Ausscheidung kg pro Kuh u. Jahr</t>
    </r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</si>
  <si>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 xml:space="preserve">Futteraufnahme kg TM/Kuh: </t>
    </r>
    <r>
      <rPr>
        <b/>
        <sz val="9"/>
        <rFont val="Arial"/>
        <family val="2"/>
      </rPr>
      <t>nur Eintragen wenn erfasst!</t>
    </r>
  </si>
  <si>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>Futter-N-Ausnutzung = (Milcheiweißmenge/6,38)/ (Rohproteinaufnahme/6,25)</t>
    </r>
  </si>
  <si>
    <t>Hinweise zum Excel-Tool "Fütterungsmonitoring"</t>
  </si>
  <si>
    <t>Futteraufnahme über Rückwaage der Futterreste und die regelmäßige Bestimmung</t>
  </si>
  <si>
    <t>der TS-Gehalte der Ration) wichtig.</t>
  </si>
  <si>
    <r>
      <rPr>
        <b/>
        <sz val="10"/>
        <rFont val="Arial"/>
        <family val="2"/>
      </rPr>
      <t>Datengrundlage</t>
    </r>
    <r>
      <rPr>
        <sz val="10"/>
        <rFont val="Arial"/>
      </rPr>
      <t xml:space="preserve"> sind die Ergebnisse der MLP (Fütterungsbericht).</t>
    </r>
  </si>
  <si>
    <t xml:space="preserve">unter Berücksichtigung des Milchharnstoffgehaltes, Milcheiweißmenge sowie Milchmenge </t>
  </si>
  <si>
    <t>von 240g unterstellt.</t>
  </si>
  <si>
    <t>Die gelben Felder sind Eingabefelder.</t>
  </si>
  <si>
    <t>Alle anderen Felder sind geschützt.</t>
  </si>
  <si>
    <t>Andrea Höller</t>
  </si>
  <si>
    <t>DLR Eifel</t>
  </si>
  <si>
    <t>andrea.hoeller@dlr.rlp.de</t>
  </si>
  <si>
    <t>Tel. 06561-9480-437</t>
  </si>
  <si>
    <t>Dr. Christian Koch</t>
  </si>
  <si>
    <t>Hofgut Neumühle</t>
  </si>
  <si>
    <t>C.Koch@neumuehle.BV-Pfalz.de</t>
  </si>
  <si>
    <t>www.hofgut-neumuehle.de</t>
  </si>
  <si>
    <t>Futter-N-Ausnutzung und die N-Ausscheidung in ihrem Betrieb kalkulieren.</t>
  </si>
  <si>
    <t>Für die Futter-N-Ausnutzung sind weiterhin die Rationskennzahlen sowie die realisierte</t>
  </si>
  <si>
    <t>Futteraufnahme im Betrieb von Bedeutung.</t>
  </si>
  <si>
    <r>
      <t xml:space="preserve">Um die </t>
    </r>
    <r>
      <rPr>
        <b/>
        <sz val="10"/>
        <rFont val="Arial"/>
        <family val="2"/>
      </rPr>
      <t>Entwicklung der Milchleistung</t>
    </r>
    <r>
      <rPr>
        <sz val="10"/>
        <rFont val="Arial"/>
        <family val="2"/>
      </rPr>
      <t xml:space="preserve"> im Betrieb besser bewerten zu können, ist es</t>
    </r>
  </si>
  <si>
    <t>hilfreich diese bezüglich der Inhaltsstoffe (ECM) und des Laktationsstand (Laktationstage)</t>
  </si>
  <si>
    <t xml:space="preserve">der Herde zu korrigieren. </t>
  </si>
  <si>
    <t>Ein effizienter Einsatz des Futterproteins ist wichtig um die Futterkosten zu senken</t>
  </si>
  <si>
    <t>und die N-Ausscheidung zu reduzieren.</t>
  </si>
  <si>
    <r>
      <t xml:space="preserve">Ziel ist daher eine hohe </t>
    </r>
    <r>
      <rPr>
        <b/>
        <sz val="10"/>
        <rFont val="Arial"/>
        <family val="2"/>
      </rPr>
      <t>Ausnutzung des Futter-N</t>
    </r>
    <r>
      <rPr>
        <sz val="10"/>
        <rFont val="Arial"/>
        <family val="2"/>
      </rPr>
      <t xml:space="preserve"> (</t>
    </r>
    <r>
      <rPr>
        <b/>
        <sz val="10"/>
        <rFont val="Arial"/>
        <family val="2"/>
      </rPr>
      <t>&gt; 30%</t>
    </r>
    <r>
      <rPr>
        <sz val="10"/>
        <rFont val="Arial"/>
        <family val="2"/>
      </rPr>
      <t>).</t>
    </r>
  </si>
  <si>
    <t>Diese berechnet sich aus dem Verhältnis der produzierten Milcheiweißmenge zu dem</t>
  </si>
  <si>
    <t>aus dem Futter aufgenommen N-Mengen.</t>
  </si>
  <si>
    <r>
      <t>Die</t>
    </r>
    <r>
      <rPr>
        <b/>
        <sz val="10"/>
        <rFont val="Arial"/>
        <family val="2"/>
      </rPr>
      <t xml:space="preserve"> N-Ausscheidung </t>
    </r>
    <r>
      <rPr>
        <sz val="10"/>
        <rFont val="Arial"/>
        <family val="2"/>
      </rPr>
      <t>in g/Kuh und Tag wird nach der Formel von Barnnick und Hindle</t>
    </r>
  </si>
  <si>
    <t xml:space="preserve">berechnet. Für die Kalkulation der N-Ausscheidung pro Kuh und Jahr werden 320 Laktations- </t>
  </si>
  <si>
    <t xml:space="preserve">sowie 45 Trockenstehtage zugrunde gelegt. Je Trockenstehtag wird eine N-Ausscheidung </t>
  </si>
  <si>
    <t>Hierfür ist die im Betrieb tatsächlich realisierte TM-Aufnahme (Kontrolle der</t>
  </si>
  <si>
    <t>Viel Erfolg bei der Anwendung!</t>
  </si>
  <si>
    <t>Melden Sie sich bitte, wenn Sie Fragen oder Anregungen haben.</t>
  </si>
  <si>
    <t xml:space="preserve">Mit Hilfe des Excel-Tools können Sie die Entwicklung der Milchleistung sowie die </t>
  </si>
  <si>
    <r>
      <t>Futterauf-nahme</t>
    </r>
    <r>
      <rPr>
        <b/>
        <vertAlign val="superscript"/>
        <sz val="10"/>
        <rFont val="Arial"/>
        <family val="2"/>
      </rPr>
      <t>2</t>
    </r>
  </si>
  <si>
    <t>Fütterungsmonitoring (N- reduzierte Fütterung in Milchviehbetrieben)</t>
  </si>
  <si>
    <t>nur GS1</t>
  </si>
  <si>
    <r>
      <t xml:space="preserve">Die </t>
    </r>
    <r>
      <rPr>
        <b/>
        <sz val="10"/>
        <rFont val="Arial"/>
        <family val="2"/>
      </rPr>
      <t xml:space="preserve">N-Ausscheidung pro Kuh/ Jahr </t>
    </r>
    <r>
      <rPr>
        <sz val="10"/>
        <rFont val="Arial"/>
        <family val="2"/>
      </rPr>
      <t xml:space="preserve">können Sie als </t>
    </r>
    <r>
      <rPr>
        <b/>
        <sz val="10"/>
        <rFont val="Arial"/>
        <family val="2"/>
      </rPr>
      <t>betriebsindividuellen Wert</t>
    </r>
    <r>
      <rPr>
        <sz val="10"/>
        <rFont val="Arial"/>
        <family val="2"/>
      </rPr>
      <t xml:space="preserve"> für die</t>
    </r>
  </si>
  <si>
    <r>
      <t xml:space="preserve">Nachweise im Rahmen der neuen </t>
    </r>
    <r>
      <rPr>
        <b/>
        <sz val="10"/>
        <rFont val="Arial"/>
        <family val="2"/>
      </rPr>
      <t>Dünge-VO</t>
    </r>
    <r>
      <rPr>
        <sz val="10"/>
        <rFont val="Arial"/>
        <family val="2"/>
      </rPr>
      <t xml:space="preserve"> nutzen.</t>
    </r>
  </si>
  <si>
    <t>www.tierhaltung.rlp.de</t>
  </si>
  <si>
    <t>sonst Energieüberversorgung am Lakt. 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</si>
</sst>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0.0%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9" fontId="1" fillId="0" borderId="0" applyFont="0" applyFill="0" applyBorder="0" applyAlignment="0" applyProtection="0"/>
    <xf numFmtId="0" fontId="11" fillId="3" borderId="0" applyNumberFormat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1" xfId="0" applyNumberFormat="1" applyBorder="1"/>
    <xf numFmtId="2" fontId="0" fillId="0" borderId="7" xfId="0" applyNumberFormat="1" applyBorder="1"/>
    <xf numFmtId="165" fontId="0" fillId="0" borderId="0" xfId="0" applyNumberFormat="1" applyBorder="1"/>
    <xf numFmtId="2" fontId="0" fillId="0" borderId="4" xfId="0" applyNumberFormat="1" applyBorder="1"/>
    <xf numFmtId="165" fontId="0" fillId="0" borderId="5" xfId="0" applyNumberForma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164" fontId="0" fillId="0" borderId="10" xfId="0" applyNumberFormat="1" applyBorder="1"/>
    <xf numFmtId="164" fontId="0" fillId="0" borderId="9" xfId="0" applyNumberFormat="1" applyBorder="1"/>
    <xf numFmtId="165" fontId="0" fillId="0" borderId="7" xfId="0" applyNumberFormat="1" applyBorder="1"/>
    <xf numFmtId="165" fontId="0" fillId="0" borderId="4" xfId="0" applyNumberFormat="1" applyBorder="1"/>
    <xf numFmtId="0" fontId="0" fillId="0" borderId="11" xfId="0" applyBorder="1"/>
    <xf numFmtId="2" fontId="0" fillId="0" borderId="11" xfId="0" applyNumberFormat="1" applyBorder="1"/>
    <xf numFmtId="165" fontId="0" fillId="0" borderId="1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12" xfId="0" applyBorder="1" applyAlignment="1">
      <alignment wrapText="1"/>
    </xf>
    <xf numFmtId="0" fontId="0" fillId="0" borderId="7" xfId="0" applyBorder="1" applyAlignment="1">
      <alignment horizontal="right"/>
    </xf>
    <xf numFmtId="0" fontId="0" fillId="0" borderId="12" xfId="0" applyBorder="1"/>
    <xf numFmtId="165" fontId="4" fillId="0" borderId="7" xfId="0" applyNumberFormat="1" applyFont="1" applyBorder="1"/>
    <xf numFmtId="0" fontId="4" fillId="0" borderId="0" xfId="0" applyFont="1"/>
    <xf numFmtId="2" fontId="0" fillId="0" borderId="10" xfId="0" applyNumberFormat="1" applyBorder="1"/>
    <xf numFmtId="2" fontId="0" fillId="0" borderId="9" xfId="0" applyNumberFormat="1" applyBorder="1"/>
    <xf numFmtId="0" fontId="4" fillId="0" borderId="13" xfId="0" applyFont="1" applyBorder="1"/>
    <xf numFmtId="0" fontId="0" fillId="0" borderId="14" xfId="0" applyBorder="1"/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1" applyFont="1"/>
    <xf numFmtId="165" fontId="0" fillId="0" borderId="13" xfId="0" applyNumberFormat="1" applyBorder="1"/>
    <xf numFmtId="0" fontId="0" fillId="0" borderId="0" xfId="0" applyBorder="1"/>
    <xf numFmtId="0" fontId="0" fillId="0" borderId="6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1" xfId="0" applyFont="1" applyFill="1" applyBorder="1" applyAlignment="1">
      <alignment horizontal="center"/>
    </xf>
    <xf numFmtId="0" fontId="0" fillId="0" borderId="8" xfId="0" applyFill="1" applyBorder="1"/>
    <xf numFmtId="0" fontId="4" fillId="0" borderId="0" xfId="0" applyFont="1" applyAlignment="1"/>
    <xf numFmtId="0" fontId="0" fillId="0" borderId="9" xfId="0" applyBorder="1" applyProtection="1"/>
    <xf numFmtId="0" fontId="0" fillId="0" borderId="9" xfId="0" applyFill="1" applyBorder="1" applyProtection="1"/>
    <xf numFmtId="0" fontId="0" fillId="0" borderId="0" xfId="0" applyProtection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0" fillId="0" borderId="0" xfId="0" applyNumberFormat="1" applyProtection="1"/>
    <xf numFmtId="166" fontId="0" fillId="0" borderId="12" xfId="3" applyNumberFormat="1" applyFont="1" applyBorder="1" applyProtection="1"/>
    <xf numFmtId="1" fontId="0" fillId="0" borderId="5" xfId="0" applyNumberFormat="1" applyBorder="1" applyProtection="1"/>
    <xf numFmtId="166" fontId="0" fillId="0" borderId="6" xfId="3" applyNumberFormat="1" applyFont="1" applyBorder="1" applyProtection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" fontId="0" fillId="0" borderId="8" xfId="0" applyNumberForma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4" fillId="0" borderId="9" xfId="0" applyFont="1" applyBorder="1" applyAlignment="1">
      <alignment horizontal="center" wrapText="1"/>
    </xf>
    <xf numFmtId="165" fontId="7" fillId="4" borderId="7" xfId="2" applyNumberFormat="1" applyFont="1" applyFill="1" applyBorder="1" applyProtection="1">
      <protection locked="0"/>
    </xf>
    <xf numFmtId="165" fontId="7" fillId="4" borderId="4" xfId="2" applyNumberFormat="1" applyFon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165" fontId="0" fillId="4" borderId="7" xfId="0" applyNumberFormat="1" applyFill="1" applyBorder="1" applyProtection="1">
      <protection locked="0"/>
    </xf>
    <xf numFmtId="2" fontId="0" fillId="4" borderId="0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5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0" xfId="0" applyFill="1"/>
    <xf numFmtId="1" fontId="7" fillId="4" borderId="0" xfId="2" applyNumberFormat="1" applyFont="1" applyFill="1" applyBorder="1" applyProtection="1">
      <protection locked="0"/>
    </xf>
    <xf numFmtId="1" fontId="7" fillId="4" borderId="5" xfId="2" applyNumberFormat="1" applyFont="1" applyFill="1" applyBorder="1" applyProtection="1">
      <protection locked="0"/>
    </xf>
    <xf numFmtId="1" fontId="7" fillId="4" borderId="12" xfId="2" applyNumberFormat="1" applyFont="1" applyFill="1" applyBorder="1" applyAlignment="1" applyProtection="1">
      <alignment horizontal="right"/>
      <protection locked="0"/>
    </xf>
    <xf numFmtId="1" fontId="7" fillId="4" borderId="6" xfId="2" applyNumberFormat="1" applyFont="1" applyFill="1" applyBorder="1" applyAlignment="1" applyProtection="1">
      <alignment horizontal="right"/>
      <protection locked="0"/>
    </xf>
    <xf numFmtId="166" fontId="0" fillId="0" borderId="3" xfId="3" applyNumberFormat="1" applyFont="1" applyBorder="1" applyProtection="1"/>
    <xf numFmtId="0" fontId="2" fillId="0" borderId="3" xfId="0" applyFont="1" applyBorder="1" applyAlignment="1">
      <alignment horizontal="center"/>
    </xf>
    <xf numFmtId="165" fontId="0" fillId="5" borderId="3" xfId="0" applyNumberFormat="1" applyFill="1" applyBorder="1"/>
    <xf numFmtId="165" fontId="0" fillId="5" borderId="12" xfId="0" applyNumberFormat="1" applyFill="1" applyBorder="1"/>
    <xf numFmtId="165" fontId="0" fillId="5" borderId="6" xfId="0" applyNumberFormat="1" applyFill="1" applyBorder="1"/>
    <xf numFmtId="0" fontId="11" fillId="6" borderId="7" xfId="4" applyFill="1" applyBorder="1"/>
    <xf numFmtId="0" fontId="11" fillId="6" borderId="4" xfId="4" applyFill="1" applyBorder="1"/>
    <xf numFmtId="0" fontId="7" fillId="4" borderId="0" xfId="2" applyFont="1" applyFill="1" applyBorder="1" applyProtection="1">
      <protection locked="0"/>
    </xf>
    <xf numFmtId="0" fontId="0" fillId="0" borderId="0" xfId="0" applyFill="1"/>
    <xf numFmtId="0" fontId="4" fillId="0" borderId="1" xfId="0" applyFont="1" applyBorder="1" applyAlignment="1">
      <alignment horizontal="center" wrapText="1"/>
    </xf>
    <xf numFmtId="165" fontId="0" fillId="0" borderId="10" xfId="0" applyNumberFormat="1" applyBorder="1" applyAlignment="1" applyProtection="1"/>
    <xf numFmtId="165" fontId="0" fillId="0" borderId="9" xfId="0" applyNumberFormat="1" applyBorder="1" applyAlignment="1" applyProtection="1"/>
    <xf numFmtId="1" fontId="0" fillId="0" borderId="12" xfId="0" applyNumberFormat="1" applyBorder="1" applyAlignment="1" applyProtection="1"/>
    <xf numFmtId="1" fontId="0" fillId="0" borderId="6" xfId="0" applyNumberFormat="1" applyBorder="1" applyAlignment="1" applyProtection="1"/>
    <xf numFmtId="1" fontId="0" fillId="0" borderId="4" xfId="0" applyNumberFormat="1" applyBorder="1" applyProtection="1"/>
    <xf numFmtId="0" fontId="2" fillId="0" borderId="8" xfId="0" applyFont="1" applyBorder="1" applyAlignment="1">
      <alignment horizontal="center" wrapText="1"/>
    </xf>
    <xf numFmtId="0" fontId="4" fillId="0" borderId="5" xfId="0" applyFont="1" applyBorder="1"/>
    <xf numFmtId="0" fontId="4" fillId="0" borderId="1" xfId="0" applyFont="1" applyBorder="1"/>
    <xf numFmtId="0" fontId="13" fillId="0" borderId="0" xfId="0" applyFont="1"/>
    <xf numFmtId="0" fontId="0" fillId="7" borderId="0" xfId="0" applyFill="1" applyProtection="1">
      <protection locked="0"/>
    </xf>
    <xf numFmtId="165" fontId="0" fillId="7" borderId="7" xfId="0" applyNumberFormat="1" applyFill="1" applyBorder="1" applyAlignment="1" applyProtection="1">
      <protection locked="0"/>
    </xf>
    <xf numFmtId="165" fontId="0" fillId="7" borderId="4" xfId="0" applyNumberFormat="1" applyFill="1" applyBorder="1" applyAlignment="1" applyProtection="1">
      <protection locked="0"/>
    </xf>
    <xf numFmtId="0" fontId="0" fillId="0" borderId="0" xfId="0" applyFill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6" fillId="0" borderId="0" xfId="1" applyFont="1"/>
    <xf numFmtId="0" fontId="17" fillId="0" borderId="0" xfId="1" applyFont="1"/>
    <xf numFmtId="1" fontId="0" fillId="6" borderId="11" xfId="0" applyNumberFormat="1" applyFill="1" applyBorder="1"/>
    <xf numFmtId="0" fontId="4" fillId="4" borderId="0" xfId="0" applyFont="1" applyFill="1" applyProtection="1">
      <protection locked="0"/>
    </xf>
    <xf numFmtId="17" fontId="3" fillId="0" borderId="0" xfId="0" applyNumberFormat="1" applyFont="1"/>
    <xf numFmtId="0" fontId="0" fillId="5" borderId="0" xfId="0" applyFill="1"/>
    <xf numFmtId="0" fontId="4" fillId="5" borderId="0" xfId="0" applyFont="1" applyFill="1"/>
    <xf numFmtId="0" fontId="4" fillId="4" borderId="0" xfId="0" applyFont="1" applyFill="1"/>
    <xf numFmtId="0" fontId="9" fillId="5" borderId="0" xfId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9" fillId="5" borderId="0" xfId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" fillId="5" borderId="0" xfId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165" fontId="0" fillId="8" borderId="0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165" fontId="0" fillId="8" borderId="6" xfId="0" applyNumberFormat="1" applyFill="1" applyBorder="1" applyAlignment="1">
      <alignment horizontal="center"/>
    </xf>
  </cellXfs>
  <cellStyles count="5">
    <cellStyle name="Link" xfId="1" builtinId="8"/>
    <cellStyle name="Neutral" xfId="2" builtinId="28"/>
    <cellStyle name="Prozent" xfId="3" builtinId="5"/>
    <cellStyle name="Schlecht" xfId="4" builtinId="27"/>
    <cellStyle name="Standard" xfId="0" builtinId="0"/>
  </cellStyles>
  <dxfs count="0"/>
  <tableStyles count="0" defaultTableStyle="TableStyleMedium9" defaultPivotStyle="PivotStyleLight16"/>
  <colors>
    <mruColors>
      <color rgb="FFFF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187324</xdr:colOff>
      <xdr:row>41</xdr:row>
      <xdr:rowOff>87313</xdr:rowOff>
    </xdr:from>
    <xdr:to>
      <xdr:col>6</xdr:col>
      <xdr:colOff>581024</xdr:colOff>
      <xdr:row>48</xdr:row>
      <xdr:rowOff>109538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762" y="6754813"/>
          <a:ext cx="1155700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39</xdr:row>
      <xdr:rowOff>5849</xdr:rowOff>
    </xdr:from>
    <xdr:to>
      <xdr:col>2</xdr:col>
      <xdr:colOff>566737</xdr:colOff>
      <xdr:row>44</xdr:row>
      <xdr:rowOff>5461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25" y="6355849"/>
          <a:ext cx="1555750" cy="793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Koch@neumuehle.BV-Pfalz.d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dlr-eifel.rlp.de/" TargetMode="External"/><Relationship Id="rId1" Type="http://schemas.openxmlformats.org/officeDocument/2006/relationships/hyperlink" Target="mailto:andrea.hoeller@dlr.rlp.d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ierhaltung.rlp.de/" TargetMode="External"/><Relationship Id="rId4" Type="http://schemas.openxmlformats.org/officeDocument/2006/relationships/hyperlink" Target="http://www.hofgut-neumuehle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9"/>
  <sheetViews>
    <sheetView showGridLines="0" tabSelected="1" zoomScale="120" zoomScaleNormal="120" workbookViewId="0">
      <selection activeCell="H37" sqref="H37"/>
    </sheetView>
  </sheetViews>
  <sheetFormatPr baseColWidth="10" defaultRowHeight="12.75" x14ac:dyDescent="0.2"/>
  <cols>
    <col min="1" max="1" width="3" customWidth="1"/>
    <col min="2" max="3" width="16.140625" customWidth="1"/>
  </cols>
  <sheetData>
    <row r="2" spans="2:7" x14ac:dyDescent="0.2">
      <c r="B2" s="116" t="s">
        <v>79</v>
      </c>
      <c r="C2" s="116"/>
      <c r="D2" s="116"/>
      <c r="E2" s="116"/>
      <c r="F2" s="116"/>
      <c r="G2" s="116"/>
    </row>
    <row r="3" spans="2:7" x14ac:dyDescent="0.2">
      <c r="B3" s="112"/>
      <c r="C3" s="112"/>
      <c r="D3" s="112"/>
      <c r="E3" s="112"/>
      <c r="F3" s="112"/>
      <c r="G3" s="112"/>
    </row>
    <row r="4" spans="2:7" x14ac:dyDescent="0.2">
      <c r="B4" s="112" t="s">
        <v>112</v>
      </c>
      <c r="C4" s="112"/>
      <c r="D4" s="112"/>
      <c r="E4" s="112"/>
      <c r="F4" s="112"/>
      <c r="G4" s="112"/>
    </row>
    <row r="5" spans="2:7" x14ac:dyDescent="0.2">
      <c r="B5" s="112" t="s">
        <v>95</v>
      </c>
      <c r="C5" s="112"/>
      <c r="D5" s="112"/>
      <c r="E5" s="112"/>
      <c r="F5" s="112"/>
      <c r="G5" s="112"/>
    </row>
    <row r="6" spans="2:7" x14ac:dyDescent="0.2">
      <c r="B6" s="112"/>
      <c r="C6" s="112"/>
      <c r="D6" s="112"/>
      <c r="E6" s="112"/>
      <c r="F6" s="112"/>
      <c r="G6" s="112"/>
    </row>
    <row r="7" spans="2:7" x14ac:dyDescent="0.2">
      <c r="B7" s="113" t="s">
        <v>82</v>
      </c>
      <c r="C7" s="112"/>
      <c r="D7" s="112"/>
      <c r="E7" s="112"/>
      <c r="F7" s="112"/>
      <c r="G7" s="112"/>
    </row>
    <row r="8" spans="2:7" x14ac:dyDescent="0.2">
      <c r="B8" s="112" t="s">
        <v>96</v>
      </c>
      <c r="C8" s="112"/>
      <c r="D8" s="112"/>
      <c r="E8" s="112"/>
      <c r="F8" s="112"/>
      <c r="G8" s="112"/>
    </row>
    <row r="9" spans="2:7" x14ac:dyDescent="0.2">
      <c r="B9" s="112" t="s">
        <v>97</v>
      </c>
      <c r="C9" s="112"/>
      <c r="D9" s="112"/>
      <c r="E9" s="112"/>
      <c r="F9" s="112"/>
      <c r="G9" s="112"/>
    </row>
    <row r="10" spans="2:7" x14ac:dyDescent="0.2">
      <c r="B10" s="112"/>
      <c r="C10" s="112"/>
      <c r="D10" s="112"/>
      <c r="E10" s="112"/>
      <c r="F10" s="112"/>
      <c r="G10" s="112"/>
    </row>
    <row r="11" spans="2:7" x14ac:dyDescent="0.2">
      <c r="B11" s="113" t="s">
        <v>98</v>
      </c>
      <c r="C11" s="112"/>
      <c r="D11" s="112"/>
      <c r="E11" s="112"/>
      <c r="F11" s="112"/>
      <c r="G11" s="112"/>
    </row>
    <row r="12" spans="2:7" x14ac:dyDescent="0.2">
      <c r="B12" s="113" t="s">
        <v>99</v>
      </c>
      <c r="C12" s="112"/>
      <c r="D12" s="112"/>
      <c r="E12" s="112"/>
      <c r="F12" s="112"/>
      <c r="G12" s="112"/>
    </row>
    <row r="13" spans="2:7" x14ac:dyDescent="0.2">
      <c r="B13" s="113" t="s">
        <v>100</v>
      </c>
      <c r="C13" s="112"/>
      <c r="D13" s="112"/>
      <c r="E13" s="112"/>
      <c r="F13" s="112"/>
      <c r="G13" s="112"/>
    </row>
    <row r="14" spans="2:7" x14ac:dyDescent="0.2">
      <c r="B14" s="112"/>
      <c r="C14" s="112"/>
      <c r="D14" s="112"/>
      <c r="E14" s="112"/>
      <c r="F14" s="112"/>
      <c r="G14" s="112"/>
    </row>
    <row r="15" spans="2:7" x14ac:dyDescent="0.2">
      <c r="B15" s="113" t="s">
        <v>101</v>
      </c>
      <c r="C15" s="112"/>
      <c r="D15" s="112"/>
      <c r="E15" s="112"/>
      <c r="F15" s="112"/>
      <c r="G15" s="112"/>
    </row>
    <row r="16" spans="2:7" x14ac:dyDescent="0.2">
      <c r="B16" s="113" t="s">
        <v>102</v>
      </c>
      <c r="C16" s="112"/>
      <c r="D16" s="112"/>
      <c r="E16" s="112"/>
      <c r="F16" s="112"/>
      <c r="G16" s="112"/>
    </row>
    <row r="17" spans="2:7" x14ac:dyDescent="0.2">
      <c r="B17" s="113" t="s">
        <v>103</v>
      </c>
      <c r="C17" s="112"/>
      <c r="D17" s="112"/>
      <c r="E17" s="112"/>
      <c r="F17" s="112"/>
      <c r="G17" s="112"/>
    </row>
    <row r="18" spans="2:7" x14ac:dyDescent="0.2">
      <c r="B18" s="113" t="s">
        <v>104</v>
      </c>
      <c r="C18" s="112"/>
      <c r="D18" s="112"/>
      <c r="E18" s="112"/>
      <c r="F18" s="112"/>
      <c r="G18" s="112"/>
    </row>
    <row r="19" spans="2:7" x14ac:dyDescent="0.2">
      <c r="B19" s="113" t="s">
        <v>105</v>
      </c>
      <c r="C19" s="112"/>
      <c r="D19" s="112"/>
      <c r="E19" s="112"/>
      <c r="F19" s="112"/>
      <c r="G19" s="112"/>
    </row>
    <row r="20" spans="2:7" x14ac:dyDescent="0.2">
      <c r="B20" s="113" t="s">
        <v>109</v>
      </c>
      <c r="C20" s="112"/>
      <c r="D20" s="112"/>
      <c r="E20" s="112"/>
      <c r="F20" s="112"/>
      <c r="G20" s="112"/>
    </row>
    <row r="21" spans="2:7" x14ac:dyDescent="0.2">
      <c r="B21" s="113" t="s">
        <v>80</v>
      </c>
      <c r="C21" s="112"/>
      <c r="D21" s="112"/>
      <c r="E21" s="112"/>
      <c r="F21" s="112"/>
      <c r="G21" s="112"/>
    </row>
    <row r="22" spans="2:7" x14ac:dyDescent="0.2">
      <c r="B22" s="113" t="s">
        <v>81</v>
      </c>
      <c r="C22" s="112"/>
      <c r="D22" s="112"/>
      <c r="E22" s="112"/>
      <c r="F22" s="112"/>
      <c r="G22" s="112"/>
    </row>
    <row r="23" spans="2:7" x14ac:dyDescent="0.2">
      <c r="B23" s="112"/>
      <c r="C23" s="112"/>
      <c r="D23" s="112"/>
      <c r="E23" s="112"/>
      <c r="F23" s="112"/>
      <c r="G23" s="112"/>
    </row>
    <row r="24" spans="2:7" x14ac:dyDescent="0.2">
      <c r="B24" s="113" t="s">
        <v>106</v>
      </c>
      <c r="C24" s="112"/>
      <c r="D24" s="112"/>
      <c r="E24" s="112"/>
      <c r="F24" s="112"/>
      <c r="G24" s="112"/>
    </row>
    <row r="25" spans="2:7" x14ac:dyDescent="0.2">
      <c r="B25" s="113" t="s">
        <v>83</v>
      </c>
      <c r="C25" s="112"/>
      <c r="D25" s="112"/>
      <c r="E25" s="112"/>
      <c r="F25" s="112"/>
      <c r="G25" s="112"/>
    </row>
    <row r="26" spans="2:7" x14ac:dyDescent="0.2">
      <c r="B26" s="113" t="s">
        <v>107</v>
      </c>
      <c r="C26" s="112"/>
      <c r="D26" s="112"/>
      <c r="E26" s="112"/>
      <c r="F26" s="112"/>
      <c r="G26" s="112"/>
    </row>
    <row r="27" spans="2:7" x14ac:dyDescent="0.2">
      <c r="B27" s="113" t="s">
        <v>108</v>
      </c>
      <c r="C27" s="112"/>
      <c r="D27" s="112"/>
      <c r="E27" s="112"/>
      <c r="F27" s="112"/>
      <c r="G27" s="112"/>
    </row>
    <row r="28" spans="2:7" x14ac:dyDescent="0.2">
      <c r="B28" s="113" t="s">
        <v>84</v>
      </c>
      <c r="C28" s="112"/>
      <c r="D28" s="112"/>
      <c r="E28" s="112"/>
      <c r="F28" s="112"/>
      <c r="G28" s="112"/>
    </row>
    <row r="29" spans="2:7" x14ac:dyDescent="0.2">
      <c r="B29" s="113" t="s">
        <v>116</v>
      </c>
      <c r="C29" s="112"/>
      <c r="D29" s="112"/>
      <c r="E29" s="112"/>
      <c r="F29" s="112"/>
      <c r="G29" s="112"/>
    </row>
    <row r="30" spans="2:7" x14ac:dyDescent="0.2">
      <c r="B30" s="113" t="s">
        <v>117</v>
      </c>
      <c r="C30" s="112"/>
      <c r="D30" s="112"/>
      <c r="E30" s="112"/>
      <c r="F30" s="112"/>
      <c r="G30" s="112"/>
    </row>
    <row r="31" spans="2:7" x14ac:dyDescent="0.2">
      <c r="B31" s="112"/>
      <c r="C31" s="112"/>
      <c r="D31" s="112"/>
      <c r="E31" s="112"/>
      <c r="F31" s="112"/>
      <c r="G31" s="112"/>
    </row>
    <row r="32" spans="2:7" x14ac:dyDescent="0.2">
      <c r="B32" s="114" t="s">
        <v>85</v>
      </c>
      <c r="C32" s="76"/>
      <c r="D32" s="76"/>
      <c r="E32" s="76"/>
      <c r="F32" s="76"/>
      <c r="G32" s="76"/>
    </row>
    <row r="33" spans="2:7" x14ac:dyDescent="0.2">
      <c r="B33" s="113" t="s">
        <v>86</v>
      </c>
      <c r="C33" s="112"/>
      <c r="D33" s="112"/>
      <c r="E33" s="112"/>
      <c r="F33" s="112"/>
      <c r="G33" s="112"/>
    </row>
    <row r="34" spans="2:7" x14ac:dyDescent="0.2">
      <c r="B34" s="112"/>
      <c r="C34" s="112"/>
      <c r="D34" s="112"/>
      <c r="E34" s="112"/>
      <c r="F34" s="112"/>
      <c r="G34" s="112"/>
    </row>
    <row r="35" spans="2:7" x14ac:dyDescent="0.2">
      <c r="B35" s="113" t="s">
        <v>110</v>
      </c>
      <c r="C35" s="112"/>
      <c r="D35" s="112"/>
      <c r="E35" s="112"/>
      <c r="F35" s="112"/>
      <c r="G35" s="112"/>
    </row>
    <row r="36" spans="2:7" x14ac:dyDescent="0.2">
      <c r="B36" s="112"/>
      <c r="C36" s="112"/>
      <c r="D36" s="112"/>
      <c r="E36" s="112"/>
      <c r="F36" s="112"/>
      <c r="G36" s="112"/>
    </row>
    <row r="37" spans="2:7" x14ac:dyDescent="0.2">
      <c r="B37" s="117" t="s">
        <v>111</v>
      </c>
      <c r="C37" s="117"/>
      <c r="D37" s="117"/>
      <c r="E37" s="117"/>
      <c r="F37" s="117"/>
      <c r="G37" s="117"/>
    </row>
    <row r="38" spans="2:7" x14ac:dyDescent="0.2">
      <c r="B38" s="112"/>
      <c r="C38" s="112"/>
      <c r="D38" s="112"/>
      <c r="E38" s="112"/>
      <c r="F38" s="112"/>
      <c r="G38" s="112"/>
    </row>
    <row r="39" spans="2:7" x14ac:dyDescent="0.2">
      <c r="B39" s="117" t="s">
        <v>87</v>
      </c>
      <c r="C39" s="117"/>
      <c r="D39" s="117"/>
      <c r="E39" s="117"/>
      <c r="F39" s="117"/>
      <c r="G39" s="117"/>
    </row>
    <row r="40" spans="2:7" x14ac:dyDescent="0.2">
      <c r="B40" s="117" t="s">
        <v>88</v>
      </c>
      <c r="C40" s="117"/>
      <c r="D40" s="117"/>
      <c r="E40" s="117"/>
      <c r="F40" s="117"/>
      <c r="G40" s="117"/>
    </row>
    <row r="41" spans="2:7" x14ac:dyDescent="0.2">
      <c r="B41" s="118" t="s">
        <v>89</v>
      </c>
      <c r="C41" s="118"/>
      <c r="D41" s="118"/>
      <c r="E41" s="118"/>
      <c r="F41" s="118"/>
      <c r="G41" s="118"/>
    </row>
    <row r="42" spans="2:7" x14ac:dyDescent="0.2">
      <c r="B42" s="119" t="s">
        <v>90</v>
      </c>
      <c r="C42" s="119"/>
      <c r="D42" s="119"/>
      <c r="E42" s="119"/>
      <c r="F42" s="119"/>
      <c r="G42" s="119"/>
    </row>
    <row r="43" spans="2:7" x14ac:dyDescent="0.2">
      <c r="B43" s="120" t="s">
        <v>33</v>
      </c>
      <c r="C43" s="120"/>
      <c r="D43" s="120"/>
      <c r="E43" s="120"/>
      <c r="F43" s="120"/>
      <c r="G43" s="120"/>
    </row>
    <row r="44" spans="2:7" x14ac:dyDescent="0.2">
      <c r="B44" s="115"/>
      <c r="C44" s="115"/>
      <c r="D44" s="115" t="s">
        <v>118</v>
      </c>
      <c r="E44" s="115"/>
      <c r="F44" s="115"/>
      <c r="G44" s="115"/>
    </row>
    <row r="45" spans="2:7" x14ac:dyDescent="0.2">
      <c r="B45" s="112"/>
      <c r="C45" s="112"/>
      <c r="D45" s="112"/>
      <c r="E45" s="112"/>
      <c r="F45" s="112"/>
      <c r="G45" s="112"/>
    </row>
    <row r="46" spans="2:7" x14ac:dyDescent="0.2">
      <c r="B46" s="117" t="s">
        <v>91</v>
      </c>
      <c r="C46" s="117"/>
      <c r="D46" s="117"/>
      <c r="E46" s="117"/>
      <c r="F46" s="117"/>
      <c r="G46" s="117"/>
    </row>
    <row r="47" spans="2:7" x14ac:dyDescent="0.2">
      <c r="B47" s="117" t="s">
        <v>92</v>
      </c>
      <c r="C47" s="117"/>
      <c r="D47" s="117"/>
      <c r="E47" s="117"/>
      <c r="F47" s="117"/>
      <c r="G47" s="117"/>
    </row>
    <row r="48" spans="2:7" x14ac:dyDescent="0.2">
      <c r="B48" s="118" t="s">
        <v>93</v>
      </c>
      <c r="C48" s="118"/>
      <c r="D48" s="118"/>
      <c r="E48" s="118"/>
      <c r="F48" s="118"/>
      <c r="G48" s="118"/>
    </row>
    <row r="49" spans="2:7" x14ac:dyDescent="0.2">
      <c r="B49" s="120" t="s">
        <v>94</v>
      </c>
      <c r="C49" s="120"/>
      <c r="D49" s="120"/>
      <c r="E49" s="120"/>
      <c r="F49" s="120"/>
      <c r="G49" s="120"/>
    </row>
  </sheetData>
  <sheetProtection password="D38B" sheet="1" objects="1" scenarios="1"/>
  <mergeCells count="11">
    <mergeCell ref="B43:G43"/>
    <mergeCell ref="B46:G46"/>
    <mergeCell ref="B47:G47"/>
    <mergeCell ref="B48:G48"/>
    <mergeCell ref="B49:G49"/>
    <mergeCell ref="B2:G2"/>
    <mergeCell ref="B39:G39"/>
    <mergeCell ref="B40:G40"/>
    <mergeCell ref="B41:G41"/>
    <mergeCell ref="B42:G42"/>
    <mergeCell ref="B37:G37"/>
  </mergeCells>
  <hyperlinks>
    <hyperlink ref="B41" r:id="rId1"/>
    <hyperlink ref="B43" r:id="rId2"/>
    <hyperlink ref="B48" r:id="rId3"/>
    <hyperlink ref="B49" r:id="rId4"/>
    <hyperlink ref="D44" r:id="rId5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0"/>
  <sheetViews>
    <sheetView zoomScaleNormal="100" workbookViewId="0">
      <selection activeCell="M23" sqref="M23"/>
    </sheetView>
  </sheetViews>
  <sheetFormatPr baseColWidth="10" defaultRowHeight="12.75" x14ac:dyDescent="0.2"/>
  <cols>
    <col min="1" max="1" width="2.85546875" customWidth="1"/>
    <col min="2" max="2" width="9.5703125" customWidth="1"/>
    <col min="3" max="3" width="9.85546875" customWidth="1"/>
    <col min="4" max="4" width="8.7109375" customWidth="1"/>
    <col min="5" max="5" width="9.28515625" customWidth="1"/>
    <col min="6" max="6" width="8.42578125" customWidth="1"/>
    <col min="7" max="7" width="8.140625" customWidth="1"/>
    <col min="8" max="8" width="8.85546875" customWidth="1"/>
    <col min="9" max="9" width="9.7109375" customWidth="1"/>
    <col min="10" max="10" width="8.42578125" customWidth="1"/>
    <col min="11" max="11" width="9.7109375" customWidth="1"/>
    <col min="12" max="12" width="8.5703125" customWidth="1"/>
    <col min="13" max="13" width="10.140625" customWidth="1"/>
    <col min="14" max="14" width="10.28515625" customWidth="1"/>
    <col min="15" max="15" width="10.5703125" customWidth="1"/>
    <col min="16" max="16" width="11.5703125" customWidth="1"/>
    <col min="17" max="17" width="8.140625" customWidth="1"/>
    <col min="18" max="18" width="12" customWidth="1"/>
    <col min="19" max="19" width="10.42578125" customWidth="1"/>
    <col min="20" max="20" width="9.42578125" customWidth="1"/>
    <col min="21" max="21" width="14.85546875" customWidth="1"/>
    <col min="22" max="22" width="8.28515625" customWidth="1"/>
    <col min="23" max="23" width="18.28515625" customWidth="1"/>
    <col min="24" max="24" width="9.85546875" customWidth="1"/>
  </cols>
  <sheetData>
    <row r="1" spans="2:23" x14ac:dyDescent="0.2">
      <c r="B1" s="1" t="s">
        <v>114</v>
      </c>
    </row>
    <row r="3" spans="2:23" x14ac:dyDescent="0.2">
      <c r="B3" s="1" t="s">
        <v>12</v>
      </c>
      <c r="L3" s="1" t="s">
        <v>32</v>
      </c>
      <c r="M3" s="110" t="s">
        <v>57</v>
      </c>
      <c r="N3" s="37"/>
      <c r="O3" s="76" t="s">
        <v>54</v>
      </c>
      <c r="P3" s="76"/>
      <c r="Q3" s="76"/>
      <c r="R3" s="76"/>
      <c r="U3" s="89"/>
      <c r="V3" s="89"/>
    </row>
    <row r="4" spans="2:23" x14ac:dyDescent="0.2">
      <c r="B4" s="36"/>
    </row>
    <row r="5" spans="2:23" ht="18" customHeight="1" x14ac:dyDescent="0.2">
      <c r="B5" s="13"/>
      <c r="C5" s="2" t="s">
        <v>3</v>
      </c>
      <c r="D5" s="3"/>
      <c r="E5" s="3"/>
      <c r="F5" s="4"/>
      <c r="G5" s="2" t="s">
        <v>4</v>
      </c>
      <c r="H5" s="3"/>
      <c r="I5" s="3"/>
      <c r="J5" s="4"/>
      <c r="K5" s="2" t="s">
        <v>5</v>
      </c>
      <c r="L5" s="3"/>
      <c r="M5" s="3"/>
      <c r="N5" s="4"/>
      <c r="O5" s="2" t="s">
        <v>11</v>
      </c>
      <c r="P5" s="3"/>
      <c r="Q5" s="3"/>
      <c r="R5" s="4"/>
      <c r="S5" s="144" t="s">
        <v>43</v>
      </c>
      <c r="T5" s="129" t="s">
        <v>30</v>
      </c>
      <c r="U5" s="131"/>
      <c r="V5" s="146"/>
      <c r="W5" s="148"/>
    </row>
    <row r="6" spans="2:23" ht="18" customHeight="1" x14ac:dyDescent="0.2">
      <c r="B6" s="14" t="s">
        <v>2</v>
      </c>
      <c r="C6" s="5" t="s">
        <v>8</v>
      </c>
      <c r="D6" s="6" t="s">
        <v>9</v>
      </c>
      <c r="E6" s="6" t="s">
        <v>10</v>
      </c>
      <c r="F6" s="41" t="s">
        <v>34</v>
      </c>
      <c r="G6" s="5" t="s">
        <v>8</v>
      </c>
      <c r="H6" s="6" t="s">
        <v>35</v>
      </c>
      <c r="I6" s="6" t="s">
        <v>36</v>
      </c>
      <c r="J6" s="7" t="s">
        <v>37</v>
      </c>
      <c r="K6" s="5" t="s">
        <v>8</v>
      </c>
      <c r="L6" s="6" t="s">
        <v>35</v>
      </c>
      <c r="M6" s="6" t="s">
        <v>38</v>
      </c>
      <c r="N6" s="7" t="s">
        <v>34</v>
      </c>
      <c r="O6" s="5" t="s">
        <v>8</v>
      </c>
      <c r="P6" s="6" t="s">
        <v>9</v>
      </c>
      <c r="Q6" s="6" t="s">
        <v>36</v>
      </c>
      <c r="R6" s="7" t="s">
        <v>34</v>
      </c>
      <c r="S6" s="145"/>
      <c r="T6" s="151" t="s">
        <v>29</v>
      </c>
      <c r="U6" s="152"/>
      <c r="V6" s="149" t="s">
        <v>44</v>
      </c>
      <c r="W6" s="150"/>
    </row>
    <row r="7" spans="2:23" ht="18" customHeight="1" x14ac:dyDescent="0.25">
      <c r="B7" s="66">
        <v>43893</v>
      </c>
      <c r="C7" s="67">
        <v>40.700000000000003</v>
      </c>
      <c r="D7" s="68">
        <v>4.0999999999999996</v>
      </c>
      <c r="E7" s="68">
        <v>3.23</v>
      </c>
      <c r="F7" s="69">
        <v>145</v>
      </c>
      <c r="G7" s="67">
        <v>40.1</v>
      </c>
      <c r="H7" s="68">
        <v>4.2</v>
      </c>
      <c r="I7" s="68">
        <v>3.51</v>
      </c>
      <c r="J7" s="69">
        <v>178</v>
      </c>
      <c r="K7" s="67">
        <v>31.4</v>
      </c>
      <c r="L7" s="68">
        <v>4.55</v>
      </c>
      <c r="M7" s="68">
        <v>3.84</v>
      </c>
      <c r="N7" s="69">
        <v>192</v>
      </c>
      <c r="O7" s="67">
        <v>36.299999999999997</v>
      </c>
      <c r="P7" s="68">
        <v>4.2699999999999996</v>
      </c>
      <c r="Q7" s="68">
        <v>3.5</v>
      </c>
      <c r="R7" s="69">
        <v>173</v>
      </c>
      <c r="S7" s="70">
        <v>196</v>
      </c>
      <c r="T7" s="32">
        <f>IF(O7="","",M7-E7)</f>
        <v>0.60999999999999988</v>
      </c>
      <c r="U7" s="86" t="str">
        <f>IF(T7="","",(IF(T7&gt;=0.6,"Energie+++","")))</f>
        <v>Energie+++</v>
      </c>
      <c r="V7" s="139" t="s">
        <v>67</v>
      </c>
      <c r="W7" s="124"/>
    </row>
    <row r="8" spans="2:23" ht="18" customHeight="1" x14ac:dyDescent="0.25">
      <c r="B8" s="66">
        <v>43945</v>
      </c>
      <c r="C8" s="67">
        <v>41.6</v>
      </c>
      <c r="D8" s="68">
        <v>4.18</v>
      </c>
      <c r="E8" s="68">
        <v>3.24</v>
      </c>
      <c r="F8" s="69">
        <v>167</v>
      </c>
      <c r="G8" s="67">
        <v>41.9</v>
      </c>
      <c r="H8" s="68">
        <v>3.73</v>
      </c>
      <c r="I8" s="68">
        <v>3.34</v>
      </c>
      <c r="J8" s="69">
        <v>165</v>
      </c>
      <c r="K8" s="67">
        <v>33.299999999999997</v>
      </c>
      <c r="L8" s="68">
        <v>4.34</v>
      </c>
      <c r="M8" s="68">
        <v>3.74</v>
      </c>
      <c r="N8" s="69">
        <v>200</v>
      </c>
      <c r="O8" s="67">
        <v>37.299999999999997</v>
      </c>
      <c r="P8" s="68">
        <v>4.1399999999999997</v>
      </c>
      <c r="Q8" s="68">
        <v>3.47</v>
      </c>
      <c r="R8" s="69">
        <v>182</v>
      </c>
      <c r="S8" s="70">
        <v>201</v>
      </c>
      <c r="T8" s="32">
        <f>IF(O8="","",M8-E8)</f>
        <v>0.5</v>
      </c>
      <c r="U8" s="86" t="str">
        <f>IF(T8="","",(IF(T8&gt;=0.6,"Energie+++","")))</f>
        <v/>
      </c>
      <c r="V8" s="123" t="s">
        <v>115</v>
      </c>
      <c r="W8" s="124"/>
    </row>
    <row r="9" spans="2:23" ht="18" customHeight="1" x14ac:dyDescent="0.25">
      <c r="B9" s="66"/>
      <c r="C9" s="67"/>
      <c r="D9" s="68"/>
      <c r="E9" s="68"/>
      <c r="F9" s="69"/>
      <c r="G9" s="67"/>
      <c r="H9" s="68"/>
      <c r="I9" s="68"/>
      <c r="J9" s="69"/>
      <c r="K9" s="67"/>
      <c r="L9" s="68"/>
      <c r="M9" s="68"/>
      <c r="N9" s="69"/>
      <c r="O9" s="67"/>
      <c r="P9" s="68"/>
      <c r="Q9" s="68"/>
      <c r="R9" s="69"/>
      <c r="S9" s="70"/>
      <c r="T9" s="32" t="str">
        <f>IF(O9="","",M9-E9)</f>
        <v/>
      </c>
      <c r="U9" s="86" t="str">
        <f>IF(T9="","",(IF(T9&gt;=0.6,"Energie+++","")))</f>
        <v/>
      </c>
      <c r="V9" s="139"/>
      <c r="W9" s="124"/>
    </row>
    <row r="10" spans="2:23" ht="18" customHeight="1" x14ac:dyDescent="0.25">
      <c r="B10" s="66"/>
      <c r="C10" s="67"/>
      <c r="D10" s="68"/>
      <c r="E10" s="68"/>
      <c r="F10" s="69"/>
      <c r="G10" s="67"/>
      <c r="H10" s="68"/>
      <c r="I10" s="68"/>
      <c r="J10" s="69"/>
      <c r="K10" s="67"/>
      <c r="L10" s="68"/>
      <c r="M10" s="68"/>
      <c r="N10" s="69"/>
      <c r="O10" s="67"/>
      <c r="P10" s="68"/>
      <c r="Q10" s="68"/>
      <c r="R10" s="69"/>
      <c r="S10" s="70"/>
      <c r="T10" s="32" t="str">
        <f>IF(O10="","",M10-E10)</f>
        <v/>
      </c>
      <c r="U10" s="86" t="str">
        <f>IF(T10="","",(IF(T10&gt;=0.6,"Energie+++","")))</f>
        <v/>
      </c>
      <c r="V10" s="123"/>
      <c r="W10" s="124"/>
    </row>
    <row r="11" spans="2:23" ht="18" customHeight="1" x14ac:dyDescent="0.25">
      <c r="B11" s="66"/>
      <c r="C11" s="67"/>
      <c r="D11" s="68"/>
      <c r="E11" s="68"/>
      <c r="F11" s="69"/>
      <c r="G11" s="67"/>
      <c r="H11" s="68"/>
      <c r="I11" s="68"/>
      <c r="J11" s="69"/>
      <c r="K11" s="67"/>
      <c r="L11" s="68"/>
      <c r="M11" s="68"/>
      <c r="N11" s="69"/>
      <c r="O11" s="67"/>
      <c r="P11" s="68"/>
      <c r="Q11" s="68"/>
      <c r="R11" s="69"/>
      <c r="S11" s="70"/>
      <c r="T11" s="32" t="str">
        <f t="shared" ref="T11:T17" si="0">IF(O11="","",M11-E11)</f>
        <v/>
      </c>
      <c r="U11" s="86" t="str">
        <f t="shared" ref="U11:U17" si="1">IF(T11="","",(IF(T11&gt;=0.6,"Energie+++","")))</f>
        <v/>
      </c>
      <c r="V11" s="123"/>
      <c r="W11" s="124"/>
    </row>
    <row r="12" spans="2:23" ht="18" customHeight="1" x14ac:dyDescent="0.25">
      <c r="B12" s="66"/>
      <c r="C12" s="67"/>
      <c r="D12" s="68"/>
      <c r="E12" s="68"/>
      <c r="F12" s="69"/>
      <c r="G12" s="67"/>
      <c r="H12" s="68"/>
      <c r="I12" s="68"/>
      <c r="J12" s="69"/>
      <c r="K12" s="67"/>
      <c r="L12" s="68"/>
      <c r="M12" s="68"/>
      <c r="N12" s="69"/>
      <c r="O12" s="67"/>
      <c r="P12" s="68"/>
      <c r="Q12" s="68"/>
      <c r="R12" s="69"/>
      <c r="S12" s="70"/>
      <c r="T12" s="32" t="str">
        <f t="shared" si="0"/>
        <v/>
      </c>
      <c r="U12" s="86" t="str">
        <f t="shared" si="1"/>
        <v/>
      </c>
      <c r="V12" s="123"/>
      <c r="W12" s="124"/>
    </row>
    <row r="13" spans="2:23" ht="18" customHeight="1" x14ac:dyDescent="0.25">
      <c r="B13" s="66"/>
      <c r="C13" s="67"/>
      <c r="D13" s="68"/>
      <c r="E13" s="68"/>
      <c r="F13" s="69"/>
      <c r="G13" s="67"/>
      <c r="H13" s="68"/>
      <c r="I13" s="68"/>
      <c r="J13" s="69"/>
      <c r="K13" s="67"/>
      <c r="L13" s="68"/>
      <c r="M13" s="68"/>
      <c r="N13" s="69"/>
      <c r="O13" s="67"/>
      <c r="P13" s="68"/>
      <c r="Q13" s="68"/>
      <c r="R13" s="69"/>
      <c r="S13" s="70"/>
      <c r="T13" s="32" t="str">
        <f t="shared" si="0"/>
        <v/>
      </c>
      <c r="U13" s="86" t="str">
        <f t="shared" si="1"/>
        <v/>
      </c>
      <c r="V13" s="123"/>
      <c r="W13" s="124"/>
    </row>
    <row r="14" spans="2:23" ht="18" customHeight="1" x14ac:dyDescent="0.25">
      <c r="B14" s="66"/>
      <c r="C14" s="67"/>
      <c r="D14" s="68"/>
      <c r="E14" s="68"/>
      <c r="F14" s="69"/>
      <c r="G14" s="67"/>
      <c r="H14" s="68"/>
      <c r="I14" s="68"/>
      <c r="J14" s="69"/>
      <c r="K14" s="67"/>
      <c r="L14" s="68"/>
      <c r="M14" s="68"/>
      <c r="N14" s="69"/>
      <c r="O14" s="67"/>
      <c r="P14" s="68"/>
      <c r="Q14" s="68"/>
      <c r="R14" s="69"/>
      <c r="S14" s="70"/>
      <c r="T14" s="32" t="str">
        <f t="shared" si="0"/>
        <v/>
      </c>
      <c r="U14" s="86" t="str">
        <f t="shared" si="1"/>
        <v/>
      </c>
      <c r="V14" s="123"/>
      <c r="W14" s="124"/>
    </row>
    <row r="15" spans="2:23" ht="18" customHeight="1" x14ac:dyDescent="0.25">
      <c r="B15" s="66"/>
      <c r="C15" s="67"/>
      <c r="D15" s="68"/>
      <c r="E15" s="68"/>
      <c r="F15" s="69"/>
      <c r="G15" s="67"/>
      <c r="H15" s="68"/>
      <c r="I15" s="68"/>
      <c r="J15" s="69"/>
      <c r="K15" s="67"/>
      <c r="L15" s="68"/>
      <c r="M15" s="68"/>
      <c r="N15" s="69"/>
      <c r="O15" s="67"/>
      <c r="P15" s="68"/>
      <c r="Q15" s="68"/>
      <c r="R15" s="69"/>
      <c r="S15" s="70"/>
      <c r="T15" s="32" t="str">
        <f t="shared" si="0"/>
        <v/>
      </c>
      <c r="U15" s="86" t="str">
        <f t="shared" si="1"/>
        <v/>
      </c>
      <c r="V15" s="123"/>
      <c r="W15" s="124"/>
    </row>
    <row r="16" spans="2:23" ht="18" customHeight="1" x14ac:dyDescent="0.25">
      <c r="B16" s="66"/>
      <c r="C16" s="67"/>
      <c r="D16" s="68"/>
      <c r="E16" s="68"/>
      <c r="F16" s="69"/>
      <c r="G16" s="67"/>
      <c r="H16" s="68"/>
      <c r="I16" s="68"/>
      <c r="J16" s="69"/>
      <c r="K16" s="67"/>
      <c r="L16" s="68"/>
      <c r="M16" s="68"/>
      <c r="N16" s="69"/>
      <c r="O16" s="67"/>
      <c r="P16" s="68"/>
      <c r="Q16" s="68"/>
      <c r="R16" s="69"/>
      <c r="S16" s="70"/>
      <c r="T16" s="32" t="str">
        <f t="shared" si="0"/>
        <v/>
      </c>
      <c r="U16" s="86" t="str">
        <f t="shared" si="1"/>
        <v/>
      </c>
      <c r="V16" s="123"/>
      <c r="W16" s="124"/>
    </row>
    <row r="17" spans="2:24" ht="18" customHeight="1" x14ac:dyDescent="0.25">
      <c r="B17" s="71"/>
      <c r="C17" s="72"/>
      <c r="D17" s="73"/>
      <c r="E17" s="73"/>
      <c r="F17" s="74"/>
      <c r="G17" s="72"/>
      <c r="H17" s="73"/>
      <c r="I17" s="73"/>
      <c r="J17" s="74"/>
      <c r="K17" s="72"/>
      <c r="L17" s="73"/>
      <c r="M17" s="73"/>
      <c r="N17" s="74"/>
      <c r="O17" s="72"/>
      <c r="P17" s="73"/>
      <c r="Q17" s="73"/>
      <c r="R17" s="74"/>
      <c r="S17" s="75"/>
      <c r="T17" s="33" t="str">
        <f t="shared" si="0"/>
        <v/>
      </c>
      <c r="U17" s="87" t="str">
        <f t="shared" si="1"/>
        <v/>
      </c>
      <c r="V17" s="125"/>
      <c r="W17" s="126"/>
    </row>
    <row r="18" spans="2:24" x14ac:dyDescent="0.2">
      <c r="T18" s="138" t="s">
        <v>31</v>
      </c>
      <c r="U18" s="138"/>
    </row>
    <row r="19" spans="2:24" x14ac:dyDescent="0.2">
      <c r="T19" s="46" t="s">
        <v>119</v>
      </c>
      <c r="U19" s="46"/>
    </row>
    <row r="20" spans="2:24" x14ac:dyDescent="0.2">
      <c r="T20" s="138"/>
      <c r="U20" s="138"/>
    </row>
    <row r="21" spans="2:24" ht="27.75" customHeight="1" x14ac:dyDescent="0.2">
      <c r="B21" s="13"/>
      <c r="C21" s="135" t="s">
        <v>13</v>
      </c>
      <c r="D21" s="136"/>
      <c r="E21" s="136"/>
      <c r="F21" s="136"/>
      <c r="G21" s="137"/>
      <c r="H21" s="44"/>
      <c r="I21" s="42"/>
      <c r="J21" s="43" t="s">
        <v>0</v>
      </c>
      <c r="K21" s="45"/>
      <c r="L21" s="3"/>
      <c r="M21" s="3"/>
      <c r="N21" s="129" t="s">
        <v>53</v>
      </c>
      <c r="O21" s="130"/>
      <c r="P21" s="130"/>
      <c r="Q21" s="131"/>
      <c r="R21" s="96" t="s">
        <v>113</v>
      </c>
      <c r="S21" s="90" t="s">
        <v>58</v>
      </c>
      <c r="T21" s="13"/>
      <c r="U21" s="61" t="s">
        <v>65</v>
      </c>
      <c r="V21" s="62"/>
      <c r="W21" s="82" t="s">
        <v>66</v>
      </c>
    </row>
    <row r="22" spans="2:24" ht="25.5" x14ac:dyDescent="0.2">
      <c r="B22" s="14" t="s">
        <v>2</v>
      </c>
      <c r="C22" s="5" t="s">
        <v>3</v>
      </c>
      <c r="D22" s="6" t="s">
        <v>4</v>
      </c>
      <c r="E22" s="6" t="s">
        <v>39</v>
      </c>
      <c r="F22" s="153" t="s">
        <v>6</v>
      </c>
      <c r="G22" s="150"/>
      <c r="H22" s="142" t="s">
        <v>7</v>
      </c>
      <c r="I22" s="143"/>
      <c r="J22" s="41" t="s">
        <v>14</v>
      </c>
      <c r="K22" s="41"/>
      <c r="L22" s="6" t="s">
        <v>1</v>
      </c>
      <c r="M22" s="97" t="s">
        <v>62</v>
      </c>
      <c r="N22" s="58" t="s">
        <v>48</v>
      </c>
      <c r="O22" s="47" t="s">
        <v>40</v>
      </c>
      <c r="P22" s="48" t="s">
        <v>41</v>
      </c>
      <c r="Q22" s="48" t="s">
        <v>42</v>
      </c>
      <c r="R22" s="63" t="s">
        <v>59</v>
      </c>
      <c r="S22" s="58" t="s">
        <v>50</v>
      </c>
      <c r="T22" s="52" t="s">
        <v>51</v>
      </c>
      <c r="U22" s="59" t="s">
        <v>52</v>
      </c>
      <c r="V22" s="53" t="s">
        <v>49</v>
      </c>
      <c r="W22" s="63" t="s">
        <v>55</v>
      </c>
    </row>
    <row r="23" spans="2:24" ht="18" customHeight="1" x14ac:dyDescent="0.2">
      <c r="B23" s="16">
        <f>IF(B7="","",B7)</f>
        <v>43893</v>
      </c>
      <c r="C23" s="18">
        <f>IF(B23="","",C7*((0.38*D7+0.21*E7)+1.05)/3.28)</f>
        <v>40.778173780487805</v>
      </c>
      <c r="D23" s="10">
        <f>IF(B23="","",G7*((0.38*H7+0.21*I7)+1.05)/3.28)</f>
        <v>41.360460365853655</v>
      </c>
      <c r="E23" s="10">
        <f>IF(B23="","",K7*((0.38*L7+0.21*M7)+1.05)/3.28)</f>
        <v>34.323646341463416</v>
      </c>
      <c r="F23" s="154">
        <f>IF(B23="","",O7*((0.38*P7+0.21*Q7+1.05))/3.28)</f>
        <v>37.712158536585363</v>
      </c>
      <c r="G23" s="155"/>
      <c r="H23" s="146">
        <f>IF(S7="","",S7)</f>
        <v>196</v>
      </c>
      <c r="I23" s="147"/>
      <c r="J23" s="127">
        <f>IF(S7="","",(H23-180)*0.1+F23)</f>
        <v>39.312158536585365</v>
      </c>
      <c r="K23" s="128"/>
      <c r="L23" s="8">
        <f>IF(B23="","",O7*P7/100)</f>
        <v>1.5500099999999997</v>
      </c>
      <c r="M23" s="83">
        <f t="shared" ref="M23:M33" si="2">IF(L23="","",L23/(60/1000))</f>
        <v>25.833499999999994</v>
      </c>
      <c r="N23" s="64">
        <v>6.9</v>
      </c>
      <c r="O23" s="88">
        <v>158</v>
      </c>
      <c r="P23" s="88">
        <v>157</v>
      </c>
      <c r="Q23" s="79">
        <v>7</v>
      </c>
      <c r="R23" s="100">
        <v>22.8</v>
      </c>
      <c r="S23" s="91">
        <f>IF(N23="","",(M23*N23)/F23)</f>
        <v>4.7266228430566963</v>
      </c>
      <c r="T23" s="54">
        <f>IF(O23="","",(IF(R23="",(M23*O23)/6.25,R23*O23/6.25)))</f>
        <v>576.38400000000001</v>
      </c>
      <c r="U23" s="54">
        <f>((O7*(Q7)/100)*1000)/6.38</f>
        <v>199.13793103448273</v>
      </c>
      <c r="V23" s="81">
        <f>IF(O23="","",(U23/T23))</f>
        <v>0.34549524454961056</v>
      </c>
      <c r="W23" s="60">
        <f>124+(1320*(R7*0.00046)+(1.87*U23)-(6.9*O7))</f>
        <v>350.96353103448268</v>
      </c>
    </row>
    <row r="24" spans="2:24" ht="18" customHeight="1" x14ac:dyDescent="0.2">
      <c r="B24" s="16">
        <f>IF(B8="","",B8)</f>
        <v>43945</v>
      </c>
      <c r="C24" s="18">
        <f>IF(B24="","",C8*((0.38*D8+0.21*E8)+1.05)/3.28)</f>
        <v>42.092097560975603</v>
      </c>
      <c r="D24" s="10">
        <f>IF(B24="","",G8*((0.38*H8+0.21*I8)+1.05)/3.28)</f>
        <v>40.479487804878048</v>
      </c>
      <c r="E24" s="10">
        <f>IF(B24="","",K8*((0.38*L8+0.21*M8)+1.05)/3.28)</f>
        <v>35.377189024390248</v>
      </c>
      <c r="F24" s="156">
        <f>IF(B24="","",O8*((0.38*P8+0.21*Q8+1.05))/3.28)</f>
        <v>38.117643292682921</v>
      </c>
      <c r="G24" s="157"/>
      <c r="H24" s="140">
        <f>IF(S8="","",S8)</f>
        <v>201</v>
      </c>
      <c r="I24" s="141"/>
      <c r="J24" s="127">
        <f>IF(S8="","",(H24-180)*0.1+F24)</f>
        <v>40.217643292682922</v>
      </c>
      <c r="K24" s="128"/>
      <c r="L24" s="9">
        <f>IF(B24="","",O8*P8/100)</f>
        <v>1.5442199999999997</v>
      </c>
      <c r="M24" s="84">
        <f t="shared" si="2"/>
        <v>25.736999999999995</v>
      </c>
      <c r="N24" s="64">
        <v>7</v>
      </c>
      <c r="O24" s="88">
        <v>159</v>
      </c>
      <c r="P24" s="88">
        <v>159</v>
      </c>
      <c r="Q24" s="79">
        <v>3.4</v>
      </c>
      <c r="R24" s="101">
        <v>22.9</v>
      </c>
      <c r="S24" s="91">
        <f>IF(N24="","",(M24*N24)/F24)</f>
        <v>4.7263939855007608</v>
      </c>
      <c r="T24" s="54">
        <f t="shared" ref="T24:T33" si="3">IF(O24="","",(IF(R24="",(M24*O24)/6.25,R24*O24/6.25)))</f>
        <v>582.57600000000002</v>
      </c>
      <c r="U24" s="54">
        <f>IF(Q8="","",((O8*(Q8)/100)*1000)/6.38)</f>
        <v>202.86990595611289</v>
      </c>
      <c r="V24" s="55">
        <f t="shared" ref="V24:V33" si="4">IF(O24="","",(U24/T24))</f>
        <v>0.34822908248213602</v>
      </c>
      <c r="W24" s="93">
        <f>IF(O8="","",124+(1320*(R8*0.00046)+(1.87*U24)-(6.9*O8)))</f>
        <v>356.5071241379311</v>
      </c>
      <c r="X24" s="49"/>
    </row>
    <row r="25" spans="2:24" ht="18" customHeight="1" x14ac:dyDescent="0.2">
      <c r="B25" s="16" t="str">
        <f>IF(B9="","",B9)</f>
        <v/>
      </c>
      <c r="C25" s="18" t="str">
        <f>IF(B25="","",C9*((0.38*D9+0.21*E9)+1.05)/3.28)</f>
        <v/>
      </c>
      <c r="D25" s="10" t="str">
        <f>IF(B25="","",G9*((0.38*H9+0.21*I9)+1.05)/3.28)</f>
        <v/>
      </c>
      <c r="E25" s="10" t="str">
        <f>IF(B25="","",K9*((0.38*L9+0.21*M9)+1.05)/3.28)</f>
        <v/>
      </c>
      <c r="F25" s="156" t="str">
        <f>IF(B25="","",O9*((0.38*P9+0.21*Q9+1.05))/3.28)</f>
        <v/>
      </c>
      <c r="G25" s="157"/>
      <c r="H25" s="140" t="str">
        <f>IF(S9="","",S9)</f>
        <v/>
      </c>
      <c r="I25" s="141"/>
      <c r="J25" s="127" t="str">
        <f>IF(S9="","",(H25-180)*0.1+F25)</f>
        <v/>
      </c>
      <c r="K25" s="128"/>
      <c r="L25" s="9" t="str">
        <f>IF(B25="","",O9*P9/100)</f>
        <v/>
      </c>
      <c r="M25" s="84" t="str">
        <f t="shared" si="2"/>
        <v/>
      </c>
      <c r="N25" s="64"/>
      <c r="O25" s="88"/>
      <c r="P25" s="88"/>
      <c r="Q25" s="79"/>
      <c r="R25" s="100"/>
      <c r="S25" s="91" t="str">
        <f>IF(N25="","",(M25*N25)/F25)</f>
        <v/>
      </c>
      <c r="T25" s="54" t="str">
        <f t="shared" si="3"/>
        <v/>
      </c>
      <c r="U25" s="54" t="str">
        <f>IF(Q9="","",((O9*(Q9)/100)*1000)/6.38)</f>
        <v/>
      </c>
      <c r="V25" s="55" t="str">
        <f t="shared" si="4"/>
        <v/>
      </c>
      <c r="W25" s="93" t="str">
        <f>IF(O9="","",124+(1320*(R9*0.00046)+(1.87*U25)-(6.9*O9)))</f>
        <v/>
      </c>
      <c r="X25" s="49"/>
    </row>
    <row r="26" spans="2:24" ht="18" customHeight="1" x14ac:dyDescent="0.2">
      <c r="B26" s="16" t="str">
        <f>IF(B10="","",B10)</f>
        <v/>
      </c>
      <c r="C26" s="18" t="str">
        <f>IF(B26="","",C10*((0.38*D10+0.21*E10)+1.05)/3.28)</f>
        <v/>
      </c>
      <c r="D26" s="10" t="str">
        <f>IF(B26="","",G10*((0.38*H10+0.21*I10)+1.05)/3.28)</f>
        <v/>
      </c>
      <c r="E26" s="10" t="str">
        <f>IF(B26="","",K10*((0.38*L10+0.21*M10)+1.05)/3.28)</f>
        <v/>
      </c>
      <c r="F26" s="156" t="str">
        <f>IF(B26="","",O10*((0.38*P10+0.21*Q10+1.05))/3.28)</f>
        <v/>
      </c>
      <c r="G26" s="157"/>
      <c r="H26" s="140" t="str">
        <f>IF(S10="","",S10)</f>
        <v/>
      </c>
      <c r="I26" s="141"/>
      <c r="J26" s="127" t="str">
        <f>IF(S10="","",(H26-180)*0.1+F26)</f>
        <v/>
      </c>
      <c r="K26" s="128"/>
      <c r="L26" s="9" t="str">
        <f>IF(B26="","",O10*P10/100)</f>
        <v/>
      </c>
      <c r="M26" s="84" t="str">
        <f t="shared" si="2"/>
        <v/>
      </c>
      <c r="N26" s="64"/>
      <c r="O26" s="88"/>
      <c r="P26" s="88"/>
      <c r="Q26" s="79"/>
      <c r="R26" s="101"/>
      <c r="S26" s="91" t="str">
        <f t="shared" ref="S26:S33" si="5">IF(N26="","",(M26*N26)/F26)</f>
        <v/>
      </c>
      <c r="T26" s="54" t="str">
        <f t="shared" si="3"/>
        <v/>
      </c>
      <c r="U26" s="54" t="str">
        <f>IF(Q10="","",((O10*(Q10)/100)*1000)/6.38)</f>
        <v/>
      </c>
      <c r="V26" s="55" t="str">
        <f t="shared" si="4"/>
        <v/>
      </c>
      <c r="W26" s="93" t="str">
        <f>IF(O10="","",124+(1320*(R10*0.00046)+(1.87*U26)-(6.9*O10)))</f>
        <v/>
      </c>
      <c r="X26" s="49"/>
    </row>
    <row r="27" spans="2:24" ht="18" customHeight="1" x14ac:dyDescent="0.2">
      <c r="B27" s="16" t="str">
        <f t="shared" ref="B27:B33" si="6">IF(B11="","",B11)</f>
        <v/>
      </c>
      <c r="C27" s="18" t="str">
        <f t="shared" ref="C27:C33" si="7">IF(B27="","",C11*((0.38*D11+0.21*E11)+1.05)/3.28)</f>
        <v/>
      </c>
      <c r="D27" s="10" t="str">
        <f t="shared" ref="D27:D33" si="8">IF(B27="","",G11*((0.38*H11+0.21*I11)+1.05)/3.28)</f>
        <v/>
      </c>
      <c r="E27" s="10" t="str">
        <f t="shared" ref="E27:E33" si="9">IF(B27="","",K11*((0.38*L11+0.21*M11)+1.05)/3.28)</f>
        <v/>
      </c>
      <c r="F27" s="156" t="str">
        <f t="shared" ref="F27:F33" si="10">IF(B27="","",O11*((0.38*P11+0.21*Q11+1.05))/3.28)</f>
        <v/>
      </c>
      <c r="G27" s="157"/>
      <c r="H27" s="140" t="str">
        <f t="shared" ref="H27:H33" si="11">IF(S11="","",S11)</f>
        <v/>
      </c>
      <c r="I27" s="141"/>
      <c r="J27" s="127" t="str">
        <f t="shared" ref="J27" si="12">IF(S11="","",(H27-180)*0.1+F27)</f>
        <v/>
      </c>
      <c r="K27" s="128"/>
      <c r="L27" s="9" t="str">
        <f t="shared" ref="L27:L33" si="13">IF(B27="","",O11*P11/100)</f>
        <v/>
      </c>
      <c r="M27" s="84" t="str">
        <f t="shared" si="2"/>
        <v/>
      </c>
      <c r="N27" s="64"/>
      <c r="O27" s="77"/>
      <c r="P27" s="77"/>
      <c r="Q27" s="79"/>
      <c r="R27" s="101"/>
      <c r="S27" s="91" t="str">
        <f t="shared" si="5"/>
        <v/>
      </c>
      <c r="T27" s="54" t="str">
        <f t="shared" si="3"/>
        <v/>
      </c>
      <c r="U27" s="54" t="str">
        <f t="shared" ref="U27:U33" si="14">IF(Q11="","",((O11*(Q11)/100)*1000)/6.38)</f>
        <v/>
      </c>
      <c r="V27" s="55" t="str">
        <f t="shared" si="4"/>
        <v/>
      </c>
      <c r="W27" s="93" t="str">
        <f t="shared" ref="W27:W33" si="15">IF(O11="","",124+(1320*(R11*0.00046)+(1.87*U27)-(6.9*O11)))</f>
        <v/>
      </c>
      <c r="X27" s="49"/>
    </row>
    <row r="28" spans="2:24" ht="18" customHeight="1" x14ac:dyDescent="0.2">
      <c r="B28" s="16" t="str">
        <f>IF(B12="","",B12)</f>
        <v/>
      </c>
      <c r="C28" s="18" t="str">
        <f t="shared" si="7"/>
        <v/>
      </c>
      <c r="D28" s="10" t="str">
        <f t="shared" si="8"/>
        <v/>
      </c>
      <c r="E28" s="10" t="str">
        <f t="shared" si="9"/>
        <v/>
      </c>
      <c r="F28" s="156" t="str">
        <f t="shared" si="10"/>
        <v/>
      </c>
      <c r="G28" s="157"/>
      <c r="H28" s="140" t="str">
        <f t="shared" si="11"/>
        <v/>
      </c>
      <c r="I28" s="141"/>
      <c r="J28" s="127" t="str">
        <f t="shared" ref="J28:J33" si="16">IF(S12="","",(H28-180)*0.1+F28)</f>
        <v/>
      </c>
      <c r="K28" s="128"/>
      <c r="L28" s="9" t="str">
        <f t="shared" si="13"/>
        <v/>
      </c>
      <c r="M28" s="84" t="str">
        <f t="shared" si="2"/>
        <v/>
      </c>
      <c r="N28" s="64"/>
      <c r="O28" s="77"/>
      <c r="P28" s="77"/>
      <c r="Q28" s="79"/>
      <c r="R28" s="101"/>
      <c r="S28" s="91" t="str">
        <f t="shared" si="5"/>
        <v/>
      </c>
      <c r="T28" s="54" t="str">
        <f t="shared" si="3"/>
        <v/>
      </c>
      <c r="U28" s="54" t="str">
        <f t="shared" si="14"/>
        <v/>
      </c>
      <c r="V28" s="55" t="str">
        <f t="shared" si="4"/>
        <v/>
      </c>
      <c r="W28" s="93" t="str">
        <f t="shared" si="15"/>
        <v/>
      </c>
      <c r="X28" s="49"/>
    </row>
    <row r="29" spans="2:24" ht="18" customHeight="1" x14ac:dyDescent="0.2">
      <c r="B29" s="16" t="str">
        <f>IF(B13="","",B13)</f>
        <v/>
      </c>
      <c r="C29" s="18" t="str">
        <f t="shared" si="7"/>
        <v/>
      </c>
      <c r="D29" s="10" t="str">
        <f t="shared" si="8"/>
        <v/>
      </c>
      <c r="E29" s="10" t="str">
        <f t="shared" si="9"/>
        <v/>
      </c>
      <c r="F29" s="156" t="str">
        <f t="shared" si="10"/>
        <v/>
      </c>
      <c r="G29" s="157"/>
      <c r="H29" s="140" t="str">
        <f t="shared" si="11"/>
        <v/>
      </c>
      <c r="I29" s="141"/>
      <c r="J29" s="127" t="str">
        <f t="shared" si="16"/>
        <v/>
      </c>
      <c r="K29" s="128"/>
      <c r="L29" s="9" t="str">
        <f t="shared" si="13"/>
        <v/>
      </c>
      <c r="M29" s="84" t="str">
        <f t="shared" si="2"/>
        <v/>
      </c>
      <c r="N29" s="64"/>
      <c r="O29" s="77"/>
      <c r="P29" s="77"/>
      <c r="Q29" s="79"/>
      <c r="R29" s="101"/>
      <c r="S29" s="91" t="str">
        <f t="shared" si="5"/>
        <v/>
      </c>
      <c r="T29" s="54" t="str">
        <f t="shared" si="3"/>
        <v/>
      </c>
      <c r="U29" s="54" t="str">
        <f t="shared" si="14"/>
        <v/>
      </c>
      <c r="V29" s="55" t="str">
        <f t="shared" si="4"/>
        <v/>
      </c>
      <c r="W29" s="93" t="str">
        <f t="shared" si="15"/>
        <v/>
      </c>
      <c r="X29" s="49"/>
    </row>
    <row r="30" spans="2:24" ht="18" customHeight="1" x14ac:dyDescent="0.2">
      <c r="B30" s="16" t="str">
        <f>IF(B14="","",B14)</f>
        <v/>
      </c>
      <c r="C30" s="18" t="str">
        <f t="shared" si="7"/>
        <v/>
      </c>
      <c r="D30" s="10" t="str">
        <f t="shared" si="8"/>
        <v/>
      </c>
      <c r="E30" s="10" t="str">
        <f t="shared" si="9"/>
        <v/>
      </c>
      <c r="F30" s="156" t="str">
        <f t="shared" si="10"/>
        <v/>
      </c>
      <c r="G30" s="157"/>
      <c r="H30" s="140" t="str">
        <f t="shared" si="11"/>
        <v/>
      </c>
      <c r="I30" s="141"/>
      <c r="J30" s="127" t="str">
        <f t="shared" si="16"/>
        <v/>
      </c>
      <c r="K30" s="128"/>
      <c r="L30" s="9" t="str">
        <f t="shared" si="13"/>
        <v/>
      </c>
      <c r="M30" s="84" t="str">
        <f t="shared" si="2"/>
        <v/>
      </c>
      <c r="N30" s="64"/>
      <c r="O30" s="77"/>
      <c r="P30" s="77"/>
      <c r="Q30" s="79"/>
      <c r="R30" s="101"/>
      <c r="S30" s="91" t="str">
        <f t="shared" si="5"/>
        <v/>
      </c>
      <c r="T30" s="54" t="str">
        <f t="shared" si="3"/>
        <v/>
      </c>
      <c r="U30" s="54" t="str">
        <f t="shared" si="14"/>
        <v/>
      </c>
      <c r="V30" s="55" t="str">
        <f t="shared" si="4"/>
        <v/>
      </c>
      <c r="W30" s="93" t="str">
        <f t="shared" si="15"/>
        <v/>
      </c>
      <c r="X30" s="49"/>
    </row>
    <row r="31" spans="2:24" ht="18" customHeight="1" x14ac:dyDescent="0.2">
      <c r="B31" s="16" t="str">
        <f>IF(B15="","",B15)</f>
        <v/>
      </c>
      <c r="C31" s="18" t="str">
        <f t="shared" si="7"/>
        <v/>
      </c>
      <c r="D31" s="10" t="str">
        <f t="shared" si="8"/>
        <v/>
      </c>
      <c r="E31" s="10" t="str">
        <f t="shared" si="9"/>
        <v/>
      </c>
      <c r="F31" s="156" t="str">
        <f t="shared" si="10"/>
        <v/>
      </c>
      <c r="G31" s="157"/>
      <c r="H31" s="140" t="str">
        <f t="shared" si="11"/>
        <v/>
      </c>
      <c r="I31" s="141"/>
      <c r="J31" s="127" t="str">
        <f t="shared" si="16"/>
        <v/>
      </c>
      <c r="K31" s="128"/>
      <c r="L31" s="9" t="str">
        <f t="shared" si="13"/>
        <v/>
      </c>
      <c r="M31" s="84" t="str">
        <f t="shared" si="2"/>
        <v/>
      </c>
      <c r="N31" s="64"/>
      <c r="O31" s="77"/>
      <c r="P31" s="77"/>
      <c r="Q31" s="79"/>
      <c r="R31" s="101"/>
      <c r="S31" s="91" t="str">
        <f t="shared" si="5"/>
        <v/>
      </c>
      <c r="T31" s="54" t="str">
        <f t="shared" si="3"/>
        <v/>
      </c>
      <c r="U31" s="54" t="str">
        <f t="shared" si="14"/>
        <v/>
      </c>
      <c r="V31" s="55" t="str">
        <f t="shared" si="4"/>
        <v/>
      </c>
      <c r="W31" s="93" t="str">
        <f t="shared" si="15"/>
        <v/>
      </c>
      <c r="X31" s="49"/>
    </row>
    <row r="32" spans="2:24" ht="18" customHeight="1" x14ac:dyDescent="0.2">
      <c r="B32" s="16" t="str">
        <f t="shared" si="6"/>
        <v/>
      </c>
      <c r="C32" s="18" t="str">
        <f t="shared" si="7"/>
        <v/>
      </c>
      <c r="D32" s="10" t="str">
        <f t="shared" si="8"/>
        <v/>
      </c>
      <c r="E32" s="10" t="str">
        <f t="shared" si="9"/>
        <v/>
      </c>
      <c r="F32" s="156" t="str">
        <f t="shared" si="10"/>
        <v/>
      </c>
      <c r="G32" s="157"/>
      <c r="H32" s="140" t="str">
        <f t="shared" si="11"/>
        <v/>
      </c>
      <c r="I32" s="141"/>
      <c r="J32" s="127" t="str">
        <f t="shared" si="16"/>
        <v/>
      </c>
      <c r="K32" s="128"/>
      <c r="L32" s="9" t="str">
        <f t="shared" si="13"/>
        <v/>
      </c>
      <c r="M32" s="84" t="str">
        <f t="shared" si="2"/>
        <v/>
      </c>
      <c r="N32" s="64"/>
      <c r="O32" s="77"/>
      <c r="P32" s="77"/>
      <c r="Q32" s="79"/>
      <c r="R32" s="101"/>
      <c r="S32" s="91" t="str">
        <f t="shared" si="5"/>
        <v/>
      </c>
      <c r="T32" s="54" t="str">
        <f t="shared" si="3"/>
        <v/>
      </c>
      <c r="U32" s="54" t="str">
        <f t="shared" si="14"/>
        <v/>
      </c>
      <c r="V32" s="55" t="str">
        <f t="shared" si="4"/>
        <v/>
      </c>
      <c r="W32" s="93" t="str">
        <f t="shared" si="15"/>
        <v/>
      </c>
      <c r="X32" s="49"/>
    </row>
    <row r="33" spans="2:24" ht="18" customHeight="1" x14ac:dyDescent="0.2">
      <c r="B33" s="17" t="str">
        <f t="shared" si="6"/>
        <v/>
      </c>
      <c r="C33" s="19" t="str">
        <f t="shared" si="7"/>
        <v/>
      </c>
      <c r="D33" s="12" t="str">
        <f t="shared" si="8"/>
        <v/>
      </c>
      <c r="E33" s="12" t="str">
        <f t="shared" si="9"/>
        <v/>
      </c>
      <c r="F33" s="158" t="str">
        <f t="shared" si="10"/>
        <v/>
      </c>
      <c r="G33" s="159"/>
      <c r="H33" s="160" t="str">
        <f t="shared" si="11"/>
        <v/>
      </c>
      <c r="I33" s="153"/>
      <c r="J33" s="161" t="str">
        <f t="shared" si="16"/>
        <v/>
      </c>
      <c r="K33" s="162"/>
      <c r="L33" s="11" t="str">
        <f t="shared" si="13"/>
        <v/>
      </c>
      <c r="M33" s="85" t="str">
        <f t="shared" si="2"/>
        <v/>
      </c>
      <c r="N33" s="65"/>
      <c r="O33" s="78"/>
      <c r="P33" s="78"/>
      <c r="Q33" s="80"/>
      <c r="R33" s="102"/>
      <c r="S33" s="92" t="str">
        <f t="shared" si="5"/>
        <v/>
      </c>
      <c r="T33" s="95" t="str">
        <f t="shared" si="3"/>
        <v/>
      </c>
      <c r="U33" s="56" t="str">
        <f t="shared" si="14"/>
        <v/>
      </c>
      <c r="V33" s="57" t="str">
        <f t="shared" si="4"/>
        <v/>
      </c>
      <c r="W33" s="94" t="str">
        <f t="shared" si="15"/>
        <v/>
      </c>
      <c r="X33" s="49"/>
    </row>
    <row r="34" spans="2:24" ht="13.5" x14ac:dyDescent="0.2">
      <c r="T34" s="132" t="s">
        <v>76</v>
      </c>
      <c r="U34" s="133"/>
      <c r="V34" s="134"/>
      <c r="W34" s="109">
        <f>((AVERAGE(W23:W33)/1000)*320)+0.24*45</f>
        <v>123.99530482758621</v>
      </c>
    </row>
    <row r="35" spans="2:24" x14ac:dyDescent="0.2">
      <c r="W35" s="103"/>
    </row>
    <row r="36" spans="2:24" ht="13.5" x14ac:dyDescent="0.2">
      <c r="B36" s="23" t="s">
        <v>27</v>
      </c>
      <c r="C36" s="3"/>
      <c r="D36" s="3"/>
      <c r="E36" s="3"/>
      <c r="F36" s="24" t="s">
        <v>22</v>
      </c>
      <c r="G36" s="4"/>
      <c r="H36" s="40"/>
      <c r="J36" s="31" t="s">
        <v>70</v>
      </c>
      <c r="M36" s="31" t="s">
        <v>64</v>
      </c>
      <c r="S36" s="104" t="s">
        <v>73</v>
      </c>
      <c r="T36" s="104" t="s">
        <v>68</v>
      </c>
      <c r="U36" s="104"/>
      <c r="V36" s="104"/>
      <c r="W36" s="104"/>
    </row>
    <row r="37" spans="2:24" ht="12.75" customHeight="1" x14ac:dyDescent="0.2">
      <c r="B37" s="50" t="s">
        <v>45</v>
      </c>
      <c r="C37" s="51" t="s">
        <v>46</v>
      </c>
      <c r="D37" s="51" t="s">
        <v>47</v>
      </c>
      <c r="E37" s="25"/>
      <c r="F37" s="26" t="s">
        <v>23</v>
      </c>
      <c r="G37" s="27" t="s">
        <v>24</v>
      </c>
      <c r="H37" s="25"/>
      <c r="J37" s="121" t="s">
        <v>71</v>
      </c>
      <c r="K37" s="122"/>
      <c r="M37" t="s">
        <v>56</v>
      </c>
      <c r="S37" s="104"/>
      <c r="T37" s="105" t="s">
        <v>69</v>
      </c>
      <c r="U37" s="106"/>
      <c r="V37" s="106"/>
      <c r="W37" s="104"/>
    </row>
    <row r="38" spans="2:24" x14ac:dyDescent="0.2">
      <c r="B38" s="30">
        <f>IF(C23="","",(D23/C23)*100)</f>
        <v>101.42793688726803</v>
      </c>
      <c r="C38" s="18">
        <f>IF(D23="","",(E23/D23)*100)</f>
        <v>82.986615810979487</v>
      </c>
      <c r="D38" s="18">
        <f>IF(B23="","",(E23/C23)*100)</f>
        <v>84.171612309639883</v>
      </c>
      <c r="E38" s="18"/>
      <c r="F38" s="28" t="s">
        <v>25</v>
      </c>
      <c r="G38" s="29" t="s">
        <v>26</v>
      </c>
      <c r="H38" s="40"/>
      <c r="M38" t="s">
        <v>16</v>
      </c>
      <c r="N38" t="s">
        <v>15</v>
      </c>
      <c r="S38" s="104"/>
      <c r="T38" s="104"/>
      <c r="U38" s="104"/>
      <c r="V38" s="104"/>
      <c r="W38" s="104"/>
    </row>
    <row r="39" spans="2:24" ht="13.5" x14ac:dyDescent="0.2">
      <c r="B39" s="30">
        <f t="shared" ref="B39:B48" si="17">IF(C24="","",(D24/C24)*100)</f>
        <v>96.168853895291178</v>
      </c>
      <c r="C39" s="18">
        <f t="shared" ref="C39:C48" si="18">IF(D24="","",(E24/D24)*100)</f>
        <v>87.39534747800603</v>
      </c>
      <c r="D39" s="18">
        <f t="shared" ref="D39:D48" si="19">IF(B24="","",(E24/C24)*100)</f>
        <v>84.047104027405666</v>
      </c>
      <c r="E39" s="18"/>
      <c r="F39" s="15"/>
      <c r="G39" s="29"/>
      <c r="H39" s="40"/>
      <c r="S39" s="104" t="s">
        <v>77</v>
      </c>
      <c r="T39" s="104"/>
      <c r="V39" s="99"/>
      <c r="W39" s="104"/>
    </row>
    <row r="40" spans="2:24" x14ac:dyDescent="0.2">
      <c r="B40" s="30" t="str">
        <f t="shared" si="17"/>
        <v/>
      </c>
      <c r="C40" s="18" t="str">
        <f t="shared" si="18"/>
        <v/>
      </c>
      <c r="D40" s="18" t="str">
        <f t="shared" si="19"/>
        <v/>
      </c>
      <c r="E40" s="18"/>
      <c r="F40" s="15"/>
      <c r="G40" s="29"/>
      <c r="H40" s="40"/>
      <c r="M40" s="98" t="s">
        <v>63</v>
      </c>
      <c r="N40" s="13" t="s">
        <v>17</v>
      </c>
      <c r="O40" s="3" t="s">
        <v>18</v>
      </c>
      <c r="P40" s="13" t="s">
        <v>19</v>
      </c>
      <c r="Q40" s="40"/>
      <c r="S40" s="104" t="s">
        <v>60</v>
      </c>
      <c r="T40" s="104"/>
      <c r="U40" s="104"/>
      <c r="V40" s="104"/>
      <c r="W40" s="104"/>
    </row>
    <row r="41" spans="2:24" x14ac:dyDescent="0.2">
      <c r="B41" s="30" t="str">
        <f t="shared" si="17"/>
        <v/>
      </c>
      <c r="C41" s="18" t="str">
        <f t="shared" si="18"/>
        <v/>
      </c>
      <c r="D41" s="18" t="str">
        <f t="shared" si="19"/>
        <v/>
      </c>
      <c r="E41" s="18"/>
      <c r="F41" s="15"/>
      <c r="G41" s="29"/>
      <c r="H41" s="40"/>
      <c r="M41" s="5" t="s">
        <v>20</v>
      </c>
      <c r="N41" s="14" t="s">
        <v>20</v>
      </c>
      <c r="O41" s="6" t="s">
        <v>20</v>
      </c>
      <c r="P41" s="14" t="s">
        <v>21</v>
      </c>
      <c r="Q41" s="40"/>
      <c r="S41" s="104" t="s">
        <v>61</v>
      </c>
      <c r="T41" s="104"/>
      <c r="U41" s="104"/>
      <c r="V41" s="104"/>
      <c r="W41" s="104"/>
    </row>
    <row r="42" spans="2:24" x14ac:dyDescent="0.2">
      <c r="B42" s="30" t="str">
        <f t="shared" si="17"/>
        <v/>
      </c>
      <c r="C42" s="18" t="str">
        <f t="shared" si="18"/>
        <v/>
      </c>
      <c r="D42" s="18" t="str">
        <f t="shared" si="19"/>
        <v/>
      </c>
      <c r="E42" s="18"/>
      <c r="F42" s="15"/>
      <c r="G42" s="29"/>
      <c r="H42" s="40"/>
      <c r="M42" s="20">
        <v>18</v>
      </c>
      <c r="N42" s="20">
        <v>1.08</v>
      </c>
      <c r="O42" s="20">
        <v>25</v>
      </c>
      <c r="P42" s="20">
        <v>4.3</v>
      </c>
      <c r="Q42" s="40"/>
      <c r="S42" s="104"/>
      <c r="T42" s="104"/>
      <c r="U42" s="104"/>
      <c r="V42" s="104"/>
      <c r="W42" s="104"/>
    </row>
    <row r="43" spans="2:24" ht="13.5" x14ac:dyDescent="0.2">
      <c r="B43" s="30" t="str">
        <f t="shared" si="17"/>
        <v/>
      </c>
      <c r="C43" s="18" t="str">
        <f t="shared" si="18"/>
        <v/>
      </c>
      <c r="D43" s="18" t="str">
        <f t="shared" si="19"/>
        <v/>
      </c>
      <c r="E43" s="18"/>
      <c r="F43" s="15"/>
      <c r="G43" s="29"/>
      <c r="H43" s="40"/>
      <c r="M43" s="20">
        <v>20</v>
      </c>
      <c r="N43" s="21">
        <v>1.2</v>
      </c>
      <c r="O43" s="20">
        <v>30</v>
      </c>
      <c r="P43" s="22">
        <v>4</v>
      </c>
      <c r="Q43" s="10"/>
      <c r="S43" s="104" t="s">
        <v>78</v>
      </c>
      <c r="T43" s="104"/>
      <c r="U43" s="104"/>
      <c r="V43" s="104"/>
      <c r="W43" s="104"/>
    </row>
    <row r="44" spans="2:24" x14ac:dyDescent="0.2">
      <c r="B44" s="30" t="str">
        <f t="shared" si="17"/>
        <v/>
      </c>
      <c r="C44" s="18" t="str">
        <f t="shared" si="18"/>
        <v/>
      </c>
      <c r="D44" s="18" t="str">
        <f t="shared" si="19"/>
        <v/>
      </c>
      <c r="E44" s="18"/>
      <c r="F44" s="15"/>
      <c r="G44" s="29"/>
      <c r="H44" s="40"/>
      <c r="M44" s="20">
        <v>22</v>
      </c>
      <c r="N44" s="20">
        <v>1.32</v>
      </c>
      <c r="O44" s="20">
        <v>35</v>
      </c>
      <c r="P44" s="20">
        <v>3.8</v>
      </c>
      <c r="Q44" s="40"/>
      <c r="S44" s="104"/>
      <c r="T44" s="104"/>
      <c r="U44" s="104"/>
      <c r="V44" s="104"/>
      <c r="W44" s="104"/>
    </row>
    <row r="45" spans="2:24" ht="13.5" x14ac:dyDescent="0.2">
      <c r="B45" s="30" t="str">
        <f t="shared" si="17"/>
        <v/>
      </c>
      <c r="C45" s="18" t="str">
        <f t="shared" si="18"/>
        <v/>
      </c>
      <c r="D45" s="18" t="str">
        <f t="shared" si="19"/>
        <v/>
      </c>
      <c r="E45" s="18"/>
      <c r="F45" s="15"/>
      <c r="G45" s="29"/>
      <c r="H45" s="40"/>
      <c r="M45" s="20">
        <v>24</v>
      </c>
      <c r="N45" s="20">
        <v>1.44</v>
      </c>
      <c r="O45" s="20">
        <v>40</v>
      </c>
      <c r="P45" s="20">
        <v>3.6</v>
      </c>
      <c r="Q45" s="40"/>
      <c r="S45" s="104" t="s">
        <v>74</v>
      </c>
      <c r="T45" s="104"/>
      <c r="U45" s="104"/>
      <c r="V45" s="104"/>
      <c r="W45" s="104"/>
    </row>
    <row r="46" spans="2:24" x14ac:dyDescent="0.2">
      <c r="B46" s="30" t="str">
        <f t="shared" si="17"/>
        <v/>
      </c>
      <c r="C46" s="18" t="str">
        <f t="shared" si="18"/>
        <v/>
      </c>
      <c r="D46" s="18" t="str">
        <f t="shared" si="19"/>
        <v/>
      </c>
      <c r="E46" s="18"/>
      <c r="F46" s="15"/>
      <c r="G46" s="29"/>
      <c r="H46" s="40"/>
      <c r="M46" s="20">
        <v>26</v>
      </c>
      <c r="N46" s="20">
        <v>1.56</v>
      </c>
      <c r="O46" s="20">
        <v>45</v>
      </c>
      <c r="P46" s="20">
        <v>3.5</v>
      </c>
      <c r="Q46" s="40"/>
      <c r="S46" s="104" t="str">
        <f>"N (g/Tag) = 124 + (1320 x Milchharnstoff-N (g N/kg Milch)) "</f>
        <v xml:space="preserve">N (g/Tag) = 124 + (1320 x Milchharnstoff-N (g N/kg Milch)) </v>
      </c>
      <c r="T46" s="107"/>
      <c r="U46" s="104"/>
      <c r="V46" s="104"/>
      <c r="W46" s="104"/>
    </row>
    <row r="47" spans="2:24" x14ac:dyDescent="0.2">
      <c r="B47" s="30" t="str">
        <f t="shared" si="17"/>
        <v/>
      </c>
      <c r="C47" s="18" t="str">
        <f t="shared" si="18"/>
        <v/>
      </c>
      <c r="D47" s="18" t="str">
        <f t="shared" si="19"/>
        <v/>
      </c>
      <c r="E47" s="18"/>
      <c r="F47" s="15"/>
      <c r="G47" s="29"/>
      <c r="H47" s="40"/>
      <c r="S47" s="104" t="str">
        <f>" + (1,87 x Milcheiweiß-N (g/Tag) - (6,90 x Milchmenge kg/Tag)"</f>
        <v xml:space="preserve"> + (1,87 x Milcheiweiß-N (g/Tag) - (6,90 x Milchmenge kg/Tag)</v>
      </c>
      <c r="T47" s="104"/>
      <c r="U47" s="104"/>
      <c r="V47" s="104"/>
      <c r="W47" s="104"/>
    </row>
    <row r="48" spans="2:24" x14ac:dyDescent="0.2">
      <c r="B48" s="30" t="str">
        <f t="shared" si="17"/>
        <v/>
      </c>
      <c r="C48" s="18" t="str">
        <f t="shared" si="18"/>
        <v/>
      </c>
      <c r="D48" s="18" t="str">
        <f t="shared" si="19"/>
        <v/>
      </c>
      <c r="E48" s="19"/>
      <c r="F48" s="5"/>
      <c r="G48" s="7"/>
      <c r="H48" s="40"/>
      <c r="J48" s="111"/>
      <c r="S48" s="104"/>
      <c r="T48" s="104"/>
      <c r="U48" s="104"/>
      <c r="V48" s="104"/>
      <c r="W48" s="104"/>
    </row>
    <row r="49" spans="2:23" ht="13.5" x14ac:dyDescent="0.2">
      <c r="B49" s="22">
        <f>AVERAGE(B38:B48)</f>
        <v>98.798395391279598</v>
      </c>
      <c r="C49" s="22">
        <f>AVERAGE(C38:C48)</f>
        <v>85.190981644492751</v>
      </c>
      <c r="D49" s="22">
        <f>AVERAGE(D38:D48)</f>
        <v>84.109358168522775</v>
      </c>
      <c r="E49" s="39"/>
      <c r="F49" s="34" t="s">
        <v>28</v>
      </c>
      <c r="G49" s="35"/>
      <c r="H49" s="40"/>
      <c r="J49" s="38"/>
      <c r="S49" s="104" t="s">
        <v>75</v>
      </c>
      <c r="T49" s="104"/>
      <c r="U49" s="108"/>
      <c r="V49" s="104"/>
      <c r="W49" s="104"/>
    </row>
    <row r="50" spans="2:23" x14ac:dyDescent="0.2">
      <c r="S50" s="104" t="s">
        <v>72</v>
      </c>
      <c r="T50" s="104"/>
      <c r="U50" s="104"/>
      <c r="V50" s="104"/>
      <c r="W50" s="104"/>
    </row>
  </sheetData>
  <sheetProtection algorithmName="SHA-512" hashValue="/kluHmDObmVvEoIPqTrBOjuJkJML8rw6PSqIndHcBd6+xhWq0hhoc8u3uPzxd9jw8AFtjU6bVSGGl/mBV4mMBA==" saltValue="p2dTsOz/kRt72B9ylttKVw==" spinCount="100000" sheet="1" objects="1" scenarios="1"/>
  <mergeCells count="57">
    <mergeCell ref="H33:I33"/>
    <mergeCell ref="J31:K31"/>
    <mergeCell ref="J32:K32"/>
    <mergeCell ref="J33:K33"/>
    <mergeCell ref="H27:I27"/>
    <mergeCell ref="H28:I28"/>
    <mergeCell ref="H32:I32"/>
    <mergeCell ref="H31:I31"/>
    <mergeCell ref="F33:G33"/>
    <mergeCell ref="F27:G27"/>
    <mergeCell ref="F28:G28"/>
    <mergeCell ref="F29:G29"/>
    <mergeCell ref="F30:G30"/>
    <mergeCell ref="F31:G31"/>
    <mergeCell ref="F32:G32"/>
    <mergeCell ref="F22:G22"/>
    <mergeCell ref="F23:G23"/>
    <mergeCell ref="F24:G24"/>
    <mergeCell ref="F25:G25"/>
    <mergeCell ref="F26:G26"/>
    <mergeCell ref="V5:W5"/>
    <mergeCell ref="V6:W6"/>
    <mergeCell ref="V7:W7"/>
    <mergeCell ref="V8:W8"/>
    <mergeCell ref="T5:U5"/>
    <mergeCell ref="T6:U6"/>
    <mergeCell ref="H22:I22"/>
    <mergeCell ref="S5:S6"/>
    <mergeCell ref="H23:I23"/>
    <mergeCell ref="H24:I24"/>
    <mergeCell ref="H25:I25"/>
    <mergeCell ref="J23:K23"/>
    <mergeCell ref="J24:K24"/>
    <mergeCell ref="J25:K25"/>
    <mergeCell ref="H26:I26"/>
    <mergeCell ref="J29:K29"/>
    <mergeCell ref="J30:K30"/>
    <mergeCell ref="H29:I29"/>
    <mergeCell ref="H30:I30"/>
    <mergeCell ref="J26:K26"/>
    <mergeCell ref="C21:G21"/>
    <mergeCell ref="T18:U18"/>
    <mergeCell ref="T20:U20"/>
    <mergeCell ref="V9:W9"/>
    <mergeCell ref="V10:W10"/>
    <mergeCell ref="V11:W11"/>
    <mergeCell ref="J37:K37"/>
    <mergeCell ref="V12:W12"/>
    <mergeCell ref="V13:W13"/>
    <mergeCell ref="V14:W14"/>
    <mergeCell ref="V15:W15"/>
    <mergeCell ref="V16:W16"/>
    <mergeCell ref="V17:W17"/>
    <mergeCell ref="J28:K28"/>
    <mergeCell ref="N21:Q21"/>
    <mergeCell ref="J27:K27"/>
    <mergeCell ref="T34:V3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>
    <oddFooter>&amp;LDLR Eifel
www.dlr-eifel.rlp.de
www.tierhaltung.rlp.de&amp;RHofgut Neumühle
www.hofgut-neumuehle.de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3" sqref="G43"/>
    </sheetView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Hinweise</vt:lpstr>
      <vt:lpstr>Fütterungsmonitoring</vt:lpstr>
      <vt:lpstr>Tabelle2</vt:lpstr>
      <vt:lpstr>Tabelle3</vt:lpstr>
      <vt:lpstr>Fütterungsmonitoring!Druckbereich</vt:lpstr>
      <vt:lpstr>Hinweise!Druckbereich</vt:lpstr>
    </vt:vector>
  </TitlesOfParts>
  <Company>Dienstleistungszentrum Ländlicher Raum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Hoeller</dc:creator>
  <cp:lastModifiedBy>Andrea Hoeller</cp:lastModifiedBy>
  <cp:lastPrinted>2020-07-24T08:54:31Z</cp:lastPrinted>
  <dcterms:created xsi:type="dcterms:W3CDTF">2011-08-19T07:10:21Z</dcterms:created>
  <dcterms:modified xsi:type="dcterms:W3CDTF">2020-07-24T10:22:41Z</dcterms:modified>
</cp:coreProperties>
</file>