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activeTab="0"/>
  </bookViews>
  <sheets>
    <sheet name="VOKOMAS1" sheetId="1" r:id="rId1"/>
  </sheets>
  <definedNames>
    <definedName name="_Regression_Int" localSheetId="0" hidden="1">1</definedName>
    <definedName name="Druckbereich_MI" localSheetId="0">'VOKOMAS1'!$A$52:$F$67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<sst xmlns="http://schemas.openxmlformats.org/spreadsheetml/2006/main" count="95" uniqueCount="82">
  <si>
    <t>&gt;&gt;&gt; Rentabilität der Schweine-Mast &lt;&lt;&lt;</t>
  </si>
  <si>
    <t>Ferkelkosten</t>
  </si>
  <si>
    <t xml:space="preserve">   Ferkelgewicht (kg):</t>
  </si>
  <si>
    <t xml:space="preserve">   Grundpreis EUR / 25kg </t>
  </si>
  <si>
    <t>+  Zuschlag ab 25 kg EUR/kg:</t>
  </si>
  <si>
    <t>+  Zuschlag ab 30 kg EUR/kg:</t>
  </si>
  <si>
    <t xml:space="preserve"> =  EUR/Ferkel (o.MW.)</t>
  </si>
  <si>
    <t xml:space="preserve"> + MWSt.(%):</t>
  </si>
  <si>
    <t>=  Ferkelpreis:</t>
  </si>
  <si>
    <t xml:space="preserve">  =</t>
  </si>
  <si>
    <t>Futterkosten</t>
  </si>
  <si>
    <t>-   Mastbereich</t>
  </si>
  <si>
    <t xml:space="preserve"> bis</t>
  </si>
  <si>
    <t>kg</t>
  </si>
  <si>
    <t xml:space="preserve">      Zunahmen  g:</t>
  </si>
  <si>
    <t xml:space="preserve"> Masttage:</t>
  </si>
  <si>
    <t xml:space="preserve">      Futterverwertung </t>
  </si>
  <si>
    <t xml:space="preserve"> 1:</t>
  </si>
  <si>
    <t xml:space="preserve">      =&gt; Futterverbrauch:</t>
  </si>
  <si>
    <t xml:space="preserve">      Preis je dt Futter: </t>
  </si>
  <si>
    <t xml:space="preserve">     + Kosten für Mahlen/Mischen/Lagern etc.</t>
  </si>
  <si>
    <t xml:space="preserve">      =&gt; Futterkosten:</t>
  </si>
  <si>
    <t>EUR/kg Zuwachs =</t>
  </si>
  <si>
    <t xml:space="preserve">      Tage für R+D:</t>
  </si>
  <si>
    <t xml:space="preserve"> Umtriebe:</t>
  </si>
  <si>
    <t>Verluste</t>
  </si>
  <si>
    <t>%</t>
  </si>
  <si>
    <t xml:space="preserve">     - bei mittl. Gewicht:</t>
  </si>
  <si>
    <t xml:space="preserve">     = Wert des Tieres:</t>
  </si>
  <si>
    <t>EUR</t>
  </si>
  <si>
    <t xml:space="preserve"> =</t>
  </si>
  <si>
    <t>Sonstige Direktkosten</t>
  </si>
  <si>
    <t xml:space="preserve">     Strom, Heizung, Wasser</t>
  </si>
  <si>
    <t xml:space="preserve">     Tierarzt, Medikamente, Hygiene(Incl. Mycopl.-Impfgebühr)</t>
  </si>
  <si>
    <t xml:space="preserve">     Beiträge, Versicherung</t>
  </si>
  <si>
    <t xml:space="preserve">     Sonstiges (Var. MK, Stallgeräte)</t>
  </si>
  <si>
    <t>SUMME Direktkosten</t>
  </si>
  <si>
    <t>Vermarkung</t>
  </si>
  <si>
    <t>Ausschlachtung:</t>
  </si>
  <si>
    <t xml:space="preserve"> = Schlachtgewicht</t>
  </si>
  <si>
    <t>Vermarktungsgebühren, Transport u. Versicherung</t>
  </si>
  <si>
    <t>Mehrwertsteuer</t>
  </si>
  <si>
    <t>FESTKOSTEN:</t>
  </si>
  <si>
    <t>Gebäudekosten</t>
  </si>
  <si>
    <t>-   Bausummme EUR/Platz:</t>
  </si>
  <si>
    <t>-   Abschreibungsdauer:</t>
  </si>
  <si>
    <t>Jahre</t>
  </si>
  <si>
    <t>-   Eigenkapital-Anteil:</t>
  </si>
  <si>
    <t>-   Zinsen Fremdkapital:</t>
  </si>
  <si>
    <t>-   Zinsen Eigenkapital:</t>
  </si>
  <si>
    <t>+   Rep./Unterhaltung:</t>
  </si>
  <si>
    <t>=   Kapitalkosten/Jahr:</t>
  </si>
  <si>
    <t>EUR/Pl. =&gt; EUR/Schwein:</t>
  </si>
  <si>
    <t>Zinsanspruch Vieh- und</t>
  </si>
  <si>
    <t>EUR/Pl.</t>
  </si>
  <si>
    <t>Umlaufvermögen</t>
  </si>
  <si>
    <t xml:space="preserve">   /Schwein</t>
  </si>
  <si>
    <t>Sonstige Festkosten:</t>
  </si>
  <si>
    <t>-    je Betrieb und Jahr:</t>
  </si>
  <si>
    <t>-    Anzahl Mastplätze:</t>
  </si>
  <si>
    <t>/Schwein:</t>
  </si>
  <si>
    <t>Lohnanspruch</t>
  </si>
  <si>
    <t>-    AKh/Platz und Jahr:</t>
  </si>
  <si>
    <t>-    Lohnanspruch EUR/AKh:</t>
  </si>
  <si>
    <t>SUMME Festkosten und Lohnanspruch</t>
  </si>
  <si>
    <t>GESAMTKOSTEN / Schwein:</t>
  </si>
  <si>
    <t>=&gt; Nötiger Schweinepreis zur Deckung</t>
  </si>
  <si>
    <t>EUR/Schwein:</t>
  </si>
  <si>
    <t>EUR/kg SG</t>
  </si>
  <si>
    <t>incl. MWSt.</t>
  </si>
  <si>
    <t>ohne MWSt.</t>
  </si>
  <si>
    <t xml:space="preserve">    a) der Direktkosten:</t>
  </si>
  <si>
    <t xml:space="preserve">    b) der Gesamtkosten - ohne Arbeit:</t>
  </si>
  <si>
    <t xml:space="preserve">    c) der Gesamtkosten - mit Arbeit:</t>
  </si>
  <si>
    <t>=&gt;  realisierter Preis:</t>
  </si>
  <si>
    <t xml:space="preserve"> =&gt;  Direktkostenfreie Leistung/Mastschwein:</t>
  </si>
  <si>
    <t xml:space="preserve"> =&gt;  Direktkostenfreie Leistung/Mastplatz:</t>
  </si>
  <si>
    <t>=&gt;  realisierte Stundenverwertung:</t>
  </si>
  <si>
    <t xml:space="preserve">EUR/AKh:  </t>
  </si>
  <si>
    <t>=&gt;  Unternehmergewinn/Mastschwein:</t>
  </si>
  <si>
    <t>=&gt;  Unternehmergewinn/Mastplatz:</t>
  </si>
  <si>
    <t>+  Gebühr/Ferkel: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</si>
</sst>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_)"/>
    <numFmt numFmtId="173" formatCode="0.0_)"/>
    <numFmt numFmtId="174" formatCode="0_)"/>
    <numFmt numFmtId="175" formatCode="dd\-mmm\-yy_)"/>
    <numFmt numFmtId="176" formatCode="#,##0.00\ &quot;DM&quot;_);\(#,##0.00\ &quot;DM&quot;\)"/>
    <numFmt numFmtId="177" formatCode="#,##0.00\ _D_M"/>
    <numFmt numFmtId="178" formatCode="[$-407]dddd\,\ d\.\ mmmm\ yyyy"/>
  </numFmts>
  <fonts count="8">
    <font>
      <sz val="12"/>
      <name val="Courier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Courier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2" fillId="0" borderId="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72" fontId="4" fillId="0" borderId="2" xfId="0" applyNumberFormat="1" applyFont="1" applyFill="1" applyBorder="1" applyAlignment="1" applyProtection="1">
      <alignment/>
      <protection/>
    </xf>
    <xf numFmtId="14" fontId="2" fillId="0" borderId="1" xfId="0" applyNumberFormat="1" applyFont="1" applyFill="1" applyBorder="1" applyAlignment="1" applyProtection="1">
      <alignment/>
      <protection/>
    </xf>
    <xf numFmtId="172" fontId="5" fillId="2" borderId="0" xfId="0" applyNumberFormat="1" applyFont="1" applyFill="1" applyAlignment="1" applyProtection="1">
      <alignment/>
      <protection locked="0"/>
    </xf>
    <xf numFmtId="173" fontId="5" fillId="2" borderId="0" xfId="0" applyNumberFormat="1" applyFont="1" applyFill="1" applyAlignment="1" applyProtection="1">
      <alignment/>
      <protection locked="0"/>
    </xf>
    <xf numFmtId="174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4" fontId="5" fillId="2" borderId="3" xfId="0" applyNumberFormat="1" applyFont="1" applyFill="1" applyBorder="1" applyAlignment="1" applyProtection="1">
      <alignment/>
      <protection locked="0"/>
    </xf>
    <xf numFmtId="172" fontId="5" fillId="2" borderId="3" xfId="0" applyNumberFormat="1" applyFont="1" applyFill="1" applyBorder="1" applyAlignment="1" applyProtection="1">
      <alignment/>
      <protection locked="0"/>
    </xf>
    <xf numFmtId="172" fontId="5" fillId="0" borderId="2" xfId="0" applyNumberFormat="1" applyFont="1" applyFill="1" applyBorder="1" applyAlignment="1" applyProtection="1">
      <alignment/>
      <protection/>
    </xf>
    <xf numFmtId="172" fontId="7" fillId="0" borderId="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2" fontId="5" fillId="0" borderId="4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Alignment="1" applyProtection="1">
      <alignment/>
      <protection/>
    </xf>
    <xf numFmtId="172" fontId="7" fillId="0" borderId="4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7" fillId="0" borderId="1" xfId="0" applyNumberFormat="1" applyFont="1" applyFill="1" applyBorder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7" fillId="0" borderId="5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Alignment="1" applyProtection="1">
      <alignment/>
      <protection/>
    </xf>
    <xf numFmtId="172" fontId="7" fillId="0" borderId="1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 locked="0"/>
    </xf>
    <xf numFmtId="172" fontId="7" fillId="0" borderId="6" xfId="0" applyNumberFormat="1" applyFont="1" applyFill="1" applyBorder="1" applyAlignment="1" applyProtection="1">
      <alignment/>
      <protection/>
    </xf>
    <xf numFmtId="172" fontId="7" fillId="0" borderId="5" xfId="0" applyNumberFormat="1" applyFont="1" applyFill="1" applyBorder="1" applyAlignment="1" applyProtection="1">
      <alignment/>
      <protection/>
    </xf>
    <xf numFmtId="172" fontId="5" fillId="0" borderId="7" xfId="0" applyNumberFormat="1" applyFont="1" applyFill="1" applyBorder="1" applyAlignment="1" applyProtection="1">
      <alignment/>
      <protection/>
    </xf>
    <xf numFmtId="172" fontId="7" fillId="0" borderId="8" xfId="0" applyNumberFormat="1" applyFont="1" applyFill="1" applyBorder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 locked="0"/>
    </xf>
    <xf numFmtId="173" fontId="5" fillId="0" borderId="0" xfId="0" applyNumberFormat="1" applyFont="1" applyFill="1" applyAlignment="1" applyProtection="1">
      <alignment/>
      <protection/>
    </xf>
    <xf numFmtId="4" fontId="5" fillId="0" borderId="3" xfId="0" applyNumberFormat="1" applyFont="1" applyFill="1" applyBorder="1" applyAlignment="1" applyProtection="1">
      <alignment/>
      <protection/>
    </xf>
    <xf numFmtId="4" fontId="7" fillId="0" borderId="3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Alignment="1" applyProtection="1">
      <alignment/>
      <protection/>
    </xf>
    <xf numFmtId="172" fontId="7" fillId="0" borderId="4" xfId="0" applyNumberFormat="1" applyFont="1" applyFill="1" applyBorder="1" applyAlignment="1" applyProtection="1">
      <alignment/>
      <protection/>
    </xf>
    <xf numFmtId="172" fontId="5" fillId="0" borderId="1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6" xfId="0" applyNumberFormat="1" applyFont="1" applyFill="1" applyBorder="1" applyAlignment="1" applyProtection="1">
      <alignment/>
      <protection/>
    </xf>
    <xf numFmtId="172" fontId="5" fillId="0" borderId="5" xfId="0" applyNumberFormat="1" applyFont="1" applyFill="1" applyBorder="1" applyAlignment="1" applyProtection="1">
      <alignment/>
      <protection/>
    </xf>
    <xf numFmtId="172" fontId="5" fillId="0" borderId="3" xfId="0" applyNumberFormat="1" applyFont="1" applyFill="1" applyBorder="1" applyAlignment="1" applyProtection="1">
      <alignment/>
      <protection/>
    </xf>
    <xf numFmtId="172" fontId="5" fillId="0" borderId="6" xfId="0" applyNumberFormat="1" applyFont="1" applyFill="1" applyBorder="1" applyAlignment="1" applyProtection="1">
      <alignment/>
      <protection/>
    </xf>
    <xf numFmtId="172" fontId="5" fillId="0" borderId="2" xfId="0" applyNumberFormat="1" applyFont="1" applyFill="1" applyBorder="1" applyAlignment="1" applyProtection="1">
      <alignment/>
      <protection/>
    </xf>
    <xf numFmtId="172" fontId="7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67"/>
  <sheetViews>
    <sheetView showGridLines="0" tabSelected="1" workbookViewId="0" topLeftCell="A18">
      <selection activeCell="D67" sqref="D67"/>
    </sheetView>
  </sheetViews>
  <sheetFormatPr defaultColWidth="10.796875" defaultRowHeight="15"/>
  <cols>
    <col min="1" max="1" width="29.69921875" style="13" customWidth="1"/>
    <col min="2" max="3" width="10.796875" style="13" customWidth="1"/>
    <col min="4" max="4" width="11.796875" style="13" customWidth="1"/>
    <col min="5" max="5" width="10.796875" style="13" customWidth="1"/>
    <col min="6" max="6" width="12.796875" style="13" customWidth="1"/>
    <col min="7" max="16384" width="10.796875" style="13" customWidth="1"/>
  </cols>
  <sheetData>
    <row r="1" spans="1:6" s="2" customFormat="1" ht="15.75">
      <c r="A1" s="3" t="s">
        <v>0</v>
      </c>
      <c r="B1" s="1"/>
      <c r="C1" s="1"/>
      <c r="D1" s="1"/>
      <c r="E1" s="1"/>
      <c r="F1" s="4">
        <f ca="1">NOW()</f>
        <v>40422.60121956019</v>
      </c>
    </row>
    <row r="2" spans="1:6" ht="12.75">
      <c r="A2" s="14" t="s">
        <v>1</v>
      </c>
      <c r="B2" s="15"/>
      <c r="C2" s="15"/>
      <c r="D2" s="15"/>
      <c r="E2" s="15"/>
      <c r="F2" s="15"/>
    </row>
    <row r="3" spans="1:6" ht="12.75">
      <c r="A3" s="16" t="s">
        <v>2</v>
      </c>
      <c r="B3" s="15"/>
      <c r="C3" s="5">
        <v>30</v>
      </c>
      <c r="D3" s="15"/>
      <c r="E3" s="15"/>
      <c r="F3" s="15"/>
    </row>
    <row r="4" spans="1:6" ht="12.75">
      <c r="A4" s="16" t="s">
        <v>3</v>
      </c>
      <c r="B4" s="15"/>
      <c r="C4" s="5">
        <v>35</v>
      </c>
      <c r="D4" s="15"/>
      <c r="E4" s="15"/>
      <c r="F4" s="15"/>
    </row>
    <row r="5" spans="1:6" ht="12.75">
      <c r="A5" s="17" t="s">
        <v>4</v>
      </c>
      <c r="B5" s="15"/>
      <c r="C5" s="5">
        <v>1</v>
      </c>
      <c r="D5" s="15"/>
      <c r="E5" s="15"/>
      <c r="F5" s="15"/>
    </row>
    <row r="6" spans="1:6" ht="12.75">
      <c r="A6" s="17" t="s">
        <v>5</v>
      </c>
      <c r="B6" s="15"/>
      <c r="C6" s="5">
        <v>1</v>
      </c>
      <c r="D6" s="18"/>
      <c r="E6" s="18"/>
      <c r="F6" s="18"/>
    </row>
    <row r="7" spans="1:6" ht="12.75">
      <c r="A7" s="16" t="s">
        <v>6</v>
      </c>
      <c r="B7" s="15"/>
      <c r="C7" s="15">
        <f>IF(C3&lt;=30,C4+(C3-25)*C5,C4+5*C5+(C3-30)*C6)</f>
        <v>40</v>
      </c>
      <c r="D7" s="19"/>
      <c r="E7" s="15"/>
      <c r="F7" s="15"/>
    </row>
    <row r="8" spans="1:6" ht="12.75">
      <c r="A8" s="17" t="s">
        <v>81</v>
      </c>
      <c r="B8" s="15"/>
      <c r="C8" s="5">
        <v>2</v>
      </c>
      <c r="D8" s="19" t="s">
        <v>7</v>
      </c>
      <c r="E8" s="15"/>
      <c r="F8" s="15"/>
    </row>
    <row r="9" spans="1:6" ht="12.75">
      <c r="A9" s="16" t="s">
        <v>8</v>
      </c>
      <c r="B9" s="15"/>
      <c r="C9" s="15">
        <f>+C7+C8</f>
        <v>42</v>
      </c>
      <c r="D9" s="5">
        <v>7</v>
      </c>
      <c r="E9" s="19" t="s">
        <v>9</v>
      </c>
      <c r="F9" s="20">
        <f>+C9*(100+D9)/100</f>
        <v>44.94</v>
      </c>
    </row>
    <row r="10" spans="1:6" ht="12.75">
      <c r="A10" s="11" t="s">
        <v>10</v>
      </c>
      <c r="B10" s="12"/>
      <c r="C10" s="12"/>
      <c r="D10" s="12"/>
      <c r="E10" s="12"/>
      <c r="F10" s="21"/>
    </row>
    <row r="11" spans="1:6" ht="12.75">
      <c r="A11" s="17" t="s">
        <v>11</v>
      </c>
      <c r="B11" s="22">
        <f>C3</f>
        <v>30</v>
      </c>
      <c r="C11" s="23" t="s">
        <v>12</v>
      </c>
      <c r="D11" s="6">
        <v>118</v>
      </c>
      <c r="E11" s="19" t="s">
        <v>13</v>
      </c>
      <c r="F11" s="24"/>
    </row>
    <row r="12" spans="1:6" ht="12.75">
      <c r="A12" s="16" t="s">
        <v>14</v>
      </c>
      <c r="B12" s="7">
        <v>720</v>
      </c>
      <c r="C12" s="19" t="s">
        <v>15</v>
      </c>
      <c r="D12" s="25">
        <f>(D11-B11)/B12*1000</f>
        <v>122.22222222222221</v>
      </c>
      <c r="E12" s="15"/>
      <c r="F12" s="24"/>
    </row>
    <row r="13" spans="1:6" ht="12.75">
      <c r="A13" s="16" t="s">
        <v>16</v>
      </c>
      <c r="B13" s="15"/>
      <c r="C13" s="19" t="s">
        <v>17</v>
      </c>
      <c r="D13" s="5">
        <v>3</v>
      </c>
      <c r="E13" s="15"/>
      <c r="F13" s="24"/>
    </row>
    <row r="14" spans="1:6" ht="12.75">
      <c r="A14" s="16" t="s">
        <v>18</v>
      </c>
      <c r="B14" s="15"/>
      <c r="C14" s="15"/>
      <c r="D14" s="15">
        <f>(D11-B11)*D13</f>
        <v>264</v>
      </c>
      <c r="E14" s="19" t="s">
        <v>13</v>
      </c>
      <c r="F14" s="24"/>
    </row>
    <row r="15" spans="1:6" ht="12.75">
      <c r="A15" s="16" t="s">
        <v>19</v>
      </c>
      <c r="B15" s="15"/>
      <c r="C15" s="19"/>
      <c r="D15" s="5">
        <v>27.5</v>
      </c>
      <c r="E15" s="19"/>
      <c r="F15" s="24"/>
    </row>
    <row r="16" spans="1:6" ht="12.75">
      <c r="A16" s="16" t="s">
        <v>20</v>
      </c>
      <c r="B16" s="15"/>
      <c r="C16" s="19"/>
      <c r="D16" s="5">
        <v>0</v>
      </c>
      <c r="E16" s="19"/>
      <c r="F16" s="24"/>
    </row>
    <row r="17" spans="1:6" ht="12.75">
      <c r="A17" s="16" t="s">
        <v>21</v>
      </c>
      <c r="B17" s="15">
        <f>+(D15+D16)/100*D13</f>
        <v>0.8250000000000001</v>
      </c>
      <c r="C17" s="15" t="s">
        <v>22</v>
      </c>
      <c r="D17" s="26"/>
      <c r="E17" s="19"/>
      <c r="F17" s="20">
        <f>+B17*(D11-B11)</f>
        <v>72.60000000000001</v>
      </c>
    </row>
    <row r="18" spans="1:6" ht="12.75">
      <c r="A18" s="16" t="s">
        <v>23</v>
      </c>
      <c r="B18" s="7">
        <v>21</v>
      </c>
      <c r="C18" s="27" t="s">
        <v>24</v>
      </c>
      <c r="D18" s="28">
        <f>365/(D12+B18)</f>
        <v>2.548487199379364</v>
      </c>
      <c r="E18" s="15"/>
      <c r="F18" s="24"/>
    </row>
    <row r="19" spans="1:6" ht="12.75">
      <c r="A19" s="11" t="s">
        <v>25</v>
      </c>
      <c r="B19" s="12"/>
      <c r="C19" s="5">
        <v>5</v>
      </c>
      <c r="D19" s="29" t="s">
        <v>26</v>
      </c>
      <c r="E19" s="12"/>
      <c r="F19" s="21"/>
    </row>
    <row r="20" spans="1:6" ht="12.75">
      <c r="A20" s="16" t="s">
        <v>27</v>
      </c>
      <c r="B20" s="15"/>
      <c r="C20" s="6">
        <v>60</v>
      </c>
      <c r="D20" s="19" t="s">
        <v>13</v>
      </c>
      <c r="E20" s="15"/>
      <c r="F20" s="24"/>
    </row>
    <row r="21" spans="1:6" ht="12.75">
      <c r="A21" s="16" t="s">
        <v>28</v>
      </c>
      <c r="B21" s="15"/>
      <c r="C21" s="15">
        <f>+F9+(C20-B11)*B17+(F23+F24+F25+F26)*(C20-B11)/(D11-B11)</f>
        <v>72.24681818181818</v>
      </c>
      <c r="D21" s="19" t="s">
        <v>29</v>
      </c>
      <c r="E21" s="19" t="s">
        <v>30</v>
      </c>
      <c r="F21" s="24">
        <f>C21*C19/100</f>
        <v>3.6123409090909093</v>
      </c>
    </row>
    <row r="22" spans="1:6" ht="12.75">
      <c r="A22" s="14" t="s">
        <v>31</v>
      </c>
      <c r="B22" s="15"/>
      <c r="C22" s="15"/>
      <c r="D22" s="15"/>
      <c r="E22" s="15"/>
      <c r="F22" s="30"/>
    </row>
    <row r="23" spans="1:6" ht="12.75">
      <c r="A23" s="16" t="s">
        <v>32</v>
      </c>
      <c r="B23" s="15"/>
      <c r="C23" s="15"/>
      <c r="D23" s="15"/>
      <c r="E23" s="15"/>
      <c r="F23" s="8">
        <v>2</v>
      </c>
    </row>
    <row r="24" spans="1:6" ht="12.75">
      <c r="A24" s="16" t="s">
        <v>33</v>
      </c>
      <c r="B24" s="15"/>
      <c r="C24" s="15"/>
      <c r="D24" s="15"/>
      <c r="E24" s="15"/>
      <c r="F24" s="8">
        <v>2.5</v>
      </c>
    </row>
    <row r="25" spans="1:6" ht="12.75">
      <c r="A25" s="16" t="s">
        <v>34</v>
      </c>
      <c r="B25" s="15"/>
      <c r="C25" s="15"/>
      <c r="D25" s="15"/>
      <c r="E25" s="15"/>
      <c r="F25" s="8">
        <v>2</v>
      </c>
    </row>
    <row r="26" spans="1:6" ht="12.75">
      <c r="A26" s="31" t="s">
        <v>35</v>
      </c>
      <c r="B26" s="32"/>
      <c r="C26" s="32"/>
      <c r="D26" s="32"/>
      <c r="E26" s="32"/>
      <c r="F26" s="9">
        <v>1</v>
      </c>
    </row>
    <row r="27" spans="1:6" ht="12.75">
      <c r="A27" s="33" t="s">
        <v>36</v>
      </c>
      <c r="B27" s="34"/>
      <c r="C27" s="34"/>
      <c r="D27" s="34"/>
      <c r="E27" s="34"/>
      <c r="F27" s="35">
        <f>+F9+F17+F21+F23+F24+F25+F26</f>
        <v>128.65234090909092</v>
      </c>
    </row>
    <row r="28" spans="1:6" ht="12.75">
      <c r="A28" s="14" t="s">
        <v>37</v>
      </c>
      <c r="B28" s="15"/>
      <c r="C28" s="15"/>
      <c r="D28" s="15"/>
      <c r="E28" s="15"/>
      <c r="F28" s="30"/>
    </row>
    <row r="29" spans="1:6" ht="12.75">
      <c r="A29" s="16" t="s">
        <v>38</v>
      </c>
      <c r="B29" s="15"/>
      <c r="C29" s="6">
        <v>79.5</v>
      </c>
      <c r="D29" s="15" t="s">
        <v>26</v>
      </c>
      <c r="E29" s="15"/>
      <c r="F29" s="30"/>
    </row>
    <row r="30" spans="1:6" ht="12.75">
      <c r="A30" s="14" t="s">
        <v>39</v>
      </c>
      <c r="B30" s="15"/>
      <c r="C30" s="36">
        <f>+C29/100*D11</f>
        <v>93.81</v>
      </c>
      <c r="D30" s="15" t="s">
        <v>13</v>
      </c>
      <c r="E30" s="15"/>
      <c r="F30" s="30"/>
    </row>
    <row r="31" spans="1:6" ht="12.75">
      <c r="A31" s="16" t="s">
        <v>40</v>
      </c>
      <c r="B31" s="15"/>
      <c r="C31" s="22"/>
      <c r="D31" s="15"/>
      <c r="E31" s="15"/>
      <c r="F31" s="8">
        <v>6</v>
      </c>
    </row>
    <row r="32" spans="1:6" ht="12.75">
      <c r="A32" s="14" t="s">
        <v>41</v>
      </c>
      <c r="B32" s="15"/>
      <c r="C32" s="6">
        <v>10.7</v>
      </c>
      <c r="D32" s="15" t="s">
        <v>26</v>
      </c>
      <c r="E32" s="15"/>
      <c r="F32" s="30"/>
    </row>
    <row r="33" spans="1:6" ht="12.75">
      <c r="A33" s="11" t="s">
        <v>42</v>
      </c>
      <c r="B33" s="12"/>
      <c r="C33" s="12"/>
      <c r="D33" s="12"/>
      <c r="E33" s="12"/>
      <c r="F33" s="21"/>
    </row>
    <row r="34" spans="1:6" ht="12.75">
      <c r="A34" s="14" t="s">
        <v>43</v>
      </c>
      <c r="B34" s="15"/>
      <c r="C34" s="15"/>
      <c r="D34" s="15"/>
      <c r="E34" s="15"/>
      <c r="F34" s="24"/>
    </row>
    <row r="35" spans="1:6" ht="12.75">
      <c r="A35" s="16" t="s">
        <v>44</v>
      </c>
      <c r="B35" s="15"/>
      <c r="C35" s="7">
        <v>450</v>
      </c>
      <c r="D35" s="19" t="s">
        <v>29</v>
      </c>
      <c r="E35" s="15"/>
      <c r="F35" s="24"/>
    </row>
    <row r="36" spans="1:6" ht="12.75">
      <c r="A36" s="16" t="s">
        <v>45</v>
      </c>
      <c r="B36" s="15"/>
      <c r="C36" s="6">
        <v>20</v>
      </c>
      <c r="D36" s="19" t="s">
        <v>46</v>
      </c>
      <c r="E36" s="15"/>
      <c r="F36" s="24"/>
    </row>
    <row r="37" spans="1:6" ht="12.75">
      <c r="A37" s="16" t="s">
        <v>47</v>
      </c>
      <c r="B37" s="15"/>
      <c r="C37" s="7">
        <v>30</v>
      </c>
      <c r="D37" s="19" t="s">
        <v>26</v>
      </c>
      <c r="E37" s="15"/>
      <c r="F37" s="24"/>
    </row>
    <row r="38" spans="1:6" ht="12.75">
      <c r="A38" s="16" t="s">
        <v>48</v>
      </c>
      <c r="B38" s="15"/>
      <c r="C38" s="6">
        <v>6</v>
      </c>
      <c r="D38" s="19" t="s">
        <v>26</v>
      </c>
      <c r="E38" s="15"/>
      <c r="F38" s="24"/>
    </row>
    <row r="39" spans="1:6" ht="12.75">
      <c r="A39" s="16" t="s">
        <v>49</v>
      </c>
      <c r="B39" s="15"/>
      <c r="C39" s="6">
        <v>3</v>
      </c>
      <c r="D39" s="19" t="s">
        <v>26</v>
      </c>
      <c r="E39" s="15"/>
      <c r="F39" s="24"/>
    </row>
    <row r="40" spans="1:6" ht="12.75">
      <c r="A40" s="16" t="s">
        <v>50</v>
      </c>
      <c r="B40" s="15"/>
      <c r="C40" s="6">
        <v>1.5</v>
      </c>
      <c r="D40" s="19" t="s">
        <v>26</v>
      </c>
      <c r="E40" s="15"/>
      <c r="F40" s="24"/>
    </row>
    <row r="41" spans="1:6" ht="12.75">
      <c r="A41" s="31" t="s">
        <v>51</v>
      </c>
      <c r="B41" s="32"/>
      <c r="C41" s="32">
        <f>C35/C36+C35/2*(C39*C37/10000+(100-C37)*C38/10000)+C35*C40/100</f>
        <v>40.725</v>
      </c>
      <c r="D41" s="27" t="s">
        <v>52</v>
      </c>
      <c r="E41" s="32"/>
      <c r="F41" s="37">
        <f>C41/D18</f>
        <v>15.980068493150686</v>
      </c>
    </row>
    <row r="42" spans="1:6" ht="12.75">
      <c r="A42" s="14" t="s">
        <v>53</v>
      </c>
      <c r="B42" s="15"/>
      <c r="C42" s="15">
        <f>+F9+(F27-F9)/2</f>
        <v>86.79617045454546</v>
      </c>
      <c r="D42" s="19" t="s">
        <v>54</v>
      </c>
      <c r="E42" s="15"/>
      <c r="F42" s="24"/>
    </row>
    <row r="43" spans="1:6" ht="12.75">
      <c r="A43" s="14" t="s">
        <v>55</v>
      </c>
      <c r="B43" s="15"/>
      <c r="C43" s="6">
        <v>4</v>
      </c>
      <c r="D43" s="19" t="s">
        <v>26</v>
      </c>
      <c r="E43" s="15" t="s">
        <v>56</v>
      </c>
      <c r="F43" s="38">
        <f>+C43/100*C42/D18</f>
        <v>1.3623167575757578</v>
      </c>
    </row>
    <row r="44" spans="1:6" ht="12.75">
      <c r="A44" s="11" t="s">
        <v>57</v>
      </c>
      <c r="B44" s="12"/>
      <c r="C44" s="12"/>
      <c r="D44" s="12"/>
      <c r="E44" s="12"/>
      <c r="F44" s="21"/>
    </row>
    <row r="45" spans="1:6" ht="12.75">
      <c r="A45" s="16" t="s">
        <v>58</v>
      </c>
      <c r="B45" s="15"/>
      <c r="C45" s="7">
        <v>1000</v>
      </c>
      <c r="D45" s="19" t="s">
        <v>29</v>
      </c>
      <c r="E45" s="15"/>
      <c r="F45" s="24"/>
    </row>
    <row r="46" spans="1:6" ht="12.75">
      <c r="A46" s="16" t="s">
        <v>59</v>
      </c>
      <c r="B46" s="15"/>
      <c r="C46" s="7">
        <v>500</v>
      </c>
      <c r="D46" s="15"/>
      <c r="E46" s="19" t="s">
        <v>60</v>
      </c>
      <c r="F46" s="24">
        <f>C45/C46/D18</f>
        <v>0.784779299847793</v>
      </c>
    </row>
    <row r="47" spans="1:6" ht="12.75">
      <c r="A47" s="11" t="s">
        <v>61</v>
      </c>
      <c r="B47" s="12"/>
      <c r="C47" s="12"/>
      <c r="D47" s="12"/>
      <c r="E47" s="12"/>
      <c r="F47" s="21"/>
    </row>
    <row r="48" spans="1:6" ht="12.75">
      <c r="A48" s="16" t="s">
        <v>62</v>
      </c>
      <c r="B48" s="15"/>
      <c r="C48" s="6">
        <v>1.6</v>
      </c>
      <c r="D48" s="15"/>
      <c r="E48" s="15"/>
      <c r="F48" s="24"/>
    </row>
    <row r="49" spans="1:6" ht="12.75">
      <c r="A49" s="16" t="s">
        <v>63</v>
      </c>
      <c r="B49" s="15"/>
      <c r="C49" s="5">
        <v>13</v>
      </c>
      <c r="D49" s="15"/>
      <c r="E49" s="19" t="s">
        <v>60</v>
      </c>
      <c r="F49" s="20">
        <f>C49*C48/D18</f>
        <v>8.161704718417047</v>
      </c>
    </row>
    <row r="50" spans="1:6" ht="12.75">
      <c r="A50" s="11" t="s">
        <v>64</v>
      </c>
      <c r="B50" s="12"/>
      <c r="C50" s="12"/>
      <c r="D50" s="12"/>
      <c r="E50" s="12"/>
      <c r="F50" s="21">
        <f>+F41+F43+F46+F49</f>
        <v>26.288869268991284</v>
      </c>
    </row>
    <row r="51" spans="1:6" ht="12.75">
      <c r="A51" s="14" t="s">
        <v>65</v>
      </c>
      <c r="B51" s="15"/>
      <c r="C51" s="15"/>
      <c r="D51" s="15"/>
      <c r="E51" s="15"/>
      <c r="F51" s="20">
        <f>+F50+F27+F31</f>
        <v>160.9412101780822</v>
      </c>
    </row>
    <row r="52" spans="1:6" ht="12.75">
      <c r="A52" s="14" t="s">
        <v>66</v>
      </c>
      <c r="B52" s="15"/>
      <c r="C52" s="15"/>
      <c r="D52" s="39" t="s">
        <v>67</v>
      </c>
      <c r="E52" s="28"/>
      <c r="F52" s="39" t="s">
        <v>68</v>
      </c>
    </row>
    <row r="53" spans="1:6" ht="12.75">
      <c r="A53" s="40"/>
      <c r="B53" s="15"/>
      <c r="C53" s="15"/>
      <c r="D53" s="39" t="s">
        <v>69</v>
      </c>
      <c r="E53" s="28"/>
      <c r="F53" s="39" t="s">
        <v>70</v>
      </c>
    </row>
    <row r="54" spans="1:6" ht="12.75">
      <c r="A54" s="14" t="s">
        <v>71</v>
      </c>
      <c r="B54" s="28"/>
      <c r="C54" s="28"/>
      <c r="D54" s="41">
        <f>+F27+F31</f>
        <v>134.65234090909092</v>
      </c>
      <c r="E54" s="41"/>
      <c r="F54" s="41">
        <f>+D54/C30/(C32+100)*100</f>
        <v>1.296633240871855</v>
      </c>
    </row>
    <row r="55" spans="1:6" ht="12.75">
      <c r="A55" s="42"/>
      <c r="B55" s="43"/>
      <c r="C55" s="43"/>
      <c r="D55" s="43"/>
      <c r="E55" s="43"/>
      <c r="F55" s="43"/>
    </row>
    <row r="56" spans="1:6" ht="12.75">
      <c r="A56" s="14" t="s">
        <v>72</v>
      </c>
      <c r="B56" s="28"/>
      <c r="C56" s="28"/>
      <c r="D56" s="28">
        <f>F51-F49</f>
        <v>152.77950545966516</v>
      </c>
      <c r="E56" s="28"/>
      <c r="F56" s="28">
        <f>+D56/C30/(100+C32)*100</f>
        <v>1.4711885732213843</v>
      </c>
    </row>
    <row r="57" spans="1:6" ht="12.75">
      <c r="A57" s="42"/>
      <c r="B57" s="43"/>
      <c r="C57" s="43"/>
      <c r="D57" s="43"/>
      <c r="E57" s="43"/>
      <c r="F57" s="43"/>
    </row>
    <row r="58" spans="1:6" ht="12.75">
      <c r="A58" s="14" t="s">
        <v>73</v>
      </c>
      <c r="B58" s="28"/>
      <c r="C58" s="28"/>
      <c r="D58" s="28">
        <f>F51</f>
        <v>160.9412101780822</v>
      </c>
      <c r="E58" s="28"/>
      <c r="F58" s="28">
        <f>+D58/C30/(100+C32)*100</f>
        <v>1.5497816193476674</v>
      </c>
    </row>
    <row r="59" spans="1:6" ht="12.75">
      <c r="A59" s="44"/>
      <c r="B59" s="45"/>
      <c r="C59" s="45"/>
      <c r="D59" s="45"/>
      <c r="E59" s="45"/>
      <c r="F59" s="46"/>
    </row>
    <row r="60" spans="1:6" ht="12.75">
      <c r="A60" s="47" t="s">
        <v>74</v>
      </c>
      <c r="B60" s="45"/>
      <c r="C60" s="45"/>
      <c r="D60" s="45">
        <f>+F60*C30*(100+C32)/100</f>
        <v>143.3097846</v>
      </c>
      <c r="E60" s="45"/>
      <c r="F60" s="10">
        <v>1.38</v>
      </c>
    </row>
    <row r="61" spans="1:6" ht="12.75">
      <c r="A61" s="40"/>
      <c r="B61" s="15"/>
      <c r="C61" s="15"/>
      <c r="D61" s="15"/>
      <c r="E61" s="15"/>
      <c r="F61" s="26"/>
    </row>
    <row r="62" spans="1:6" ht="12.75">
      <c r="A62" s="14" t="s">
        <v>75</v>
      </c>
      <c r="B62" s="28"/>
      <c r="C62" s="28"/>
      <c r="D62" s="48">
        <f>D60-D54</f>
        <v>8.657443690909076</v>
      </c>
      <c r="E62" s="40"/>
      <c r="F62" s="15"/>
    </row>
    <row r="63" spans="1:6" ht="12.75">
      <c r="A63" s="14" t="s">
        <v>76</v>
      </c>
      <c r="B63" s="28"/>
      <c r="C63" s="28"/>
      <c r="D63" s="48">
        <f>D62*D18</f>
        <v>22.063384425629415</v>
      </c>
      <c r="E63" s="40"/>
      <c r="F63" s="15"/>
    </row>
    <row r="64" spans="1:6" ht="12.75">
      <c r="A64" s="16" t="s">
        <v>77</v>
      </c>
      <c r="B64" s="15"/>
      <c r="C64" s="15"/>
      <c r="D64" s="12"/>
      <c r="E64" s="19" t="s">
        <v>78</v>
      </c>
      <c r="F64" s="49">
        <f>(D60-F51+F49)*D18/C48</f>
        <v>-15.083413995345243</v>
      </c>
    </row>
    <row r="65" spans="1:6" ht="12.75">
      <c r="A65" s="40"/>
      <c r="B65" s="15"/>
      <c r="C65" s="15"/>
      <c r="D65" s="15"/>
      <c r="E65" s="15"/>
      <c r="F65" s="12"/>
    </row>
    <row r="66" spans="1:6" ht="12.75">
      <c r="A66" s="16" t="s">
        <v>79</v>
      </c>
      <c r="B66" s="15"/>
      <c r="C66" s="15"/>
      <c r="D66" s="15">
        <f>D60-D58</f>
        <v>-17.6314255780822</v>
      </c>
      <c r="E66" s="15"/>
      <c r="F66" s="15"/>
    </row>
    <row r="67" spans="1:6" ht="12.75">
      <c r="A67" s="16" t="s">
        <v>80</v>
      </c>
      <c r="B67" s="15"/>
      <c r="C67" s="15"/>
      <c r="D67" s="15">
        <f>D66*D18</f>
        <v>-44.93346239255239</v>
      </c>
      <c r="E67" s="15"/>
      <c r="F67" s="15"/>
    </row>
  </sheetData>
  <printOptions/>
  <pageMargins left="0.71" right="0.3937007874015748" top="1.3779527559055118" bottom="0.5905511811023623" header="0.5118110236220472" footer="0.31496062992125984"/>
  <pageSetup horizontalDpi="600" verticalDpi="600" orientation="portrait" paperSize="9" scale="74" r:id="rId2"/>
  <headerFooter alignWithMargins="0">
    <oddHeader>&amp;R&amp;G</oddHeader>
    <oddFooter>&amp;L&amp;"Arial,Standard"&amp;8© DLR Westerwald-Osteifel
   Bahnhofstr. 32, 56410 Montabaur&amp;R&amp;"Arial,Standard"&amp;8Detlef Groß
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2010-08-30T13:25:06Z</cp:lastPrinted>
  <dcterms:created xsi:type="dcterms:W3CDTF">2000-10-31T14:46:19Z</dcterms:created>
  <dcterms:modified xsi:type="dcterms:W3CDTF">2010-09-01T13:26:16Z</dcterms:modified>
  <cp:category/>
  <cp:version/>
  <cp:contentType/>
  <cp:contentStatus/>
</cp:coreProperties>
</file>